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 Crawley\Dropbox\02. Business\01. Vector\04. Marketing\Webpage\Blogs\04. PLCR\"/>
    </mc:Choice>
  </mc:AlternateContent>
  <bookViews>
    <workbookView xWindow="0" yWindow="0" windowWidth="11558" windowHeight="10268" tabRatio="864"/>
  </bookViews>
  <sheets>
    <sheet name="Cover" sheetId="52" r:id="rId1"/>
    <sheet name="PLCR" sheetId="55" r:id="rId2"/>
  </sheets>
  <definedNames>
    <definedName name="Constant.QuartersInYear">PLCR!$F$11</definedName>
    <definedName name="Constants.MonthsInQuarter">PLCR!$F$12</definedName>
    <definedName name="Date.Project.End">PLCR!$F$22</definedName>
    <definedName name="PLCR.Rate.Applied">PLCR!$F$26</definedName>
    <definedName name="PLCR.Rate.Choice">PLCR!$F$23</definedName>
  </definedNames>
  <calcPr calcId="171027" calcMode="autoNoTable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56" i="55" l="1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F24" i="55"/>
  <c r="W54" i="55"/>
  <c r="X54" i="55"/>
  <c r="Y54" i="55"/>
  <c r="F26" i="55"/>
  <c r="F56" i="55"/>
  <c r="K30" i="55"/>
  <c r="K31" i="55"/>
  <c r="L29" i="55"/>
  <c r="L30" i="55"/>
  <c r="L31" i="55"/>
  <c r="M29" i="55"/>
  <c r="M30" i="55"/>
  <c r="M31" i="55"/>
  <c r="N29" i="55"/>
  <c r="N30" i="55"/>
  <c r="N31" i="55"/>
  <c r="O29" i="55"/>
  <c r="O30" i="55"/>
  <c r="O31" i="55"/>
  <c r="P29" i="55"/>
  <c r="P30" i="55"/>
  <c r="P31" i="55"/>
  <c r="Q29" i="55"/>
  <c r="Q30" i="55"/>
  <c r="Q31" i="55"/>
  <c r="R29" i="55"/>
  <c r="R30" i="55"/>
  <c r="R31" i="55"/>
  <c r="S29" i="55"/>
  <c r="S30" i="55"/>
  <c r="S31" i="55"/>
  <c r="T29" i="55"/>
  <c r="T30" i="55"/>
  <c r="T31" i="55"/>
  <c r="U29" i="55"/>
  <c r="U30" i="55"/>
  <c r="U31" i="55"/>
  <c r="V29" i="55"/>
  <c r="V30" i="55"/>
  <c r="V31" i="55"/>
  <c r="W29" i="55"/>
  <c r="W30" i="55"/>
  <c r="W31" i="55"/>
  <c r="X29" i="55"/>
  <c r="X30" i="55"/>
  <c r="X31" i="55"/>
  <c r="Y29" i="55"/>
  <c r="Y37" i="55"/>
  <c r="Y57" i="55"/>
  <c r="L14" i="55"/>
  <c r="M14" i="55"/>
  <c r="N14" i="55"/>
  <c r="O14" i="55"/>
  <c r="P14" i="55"/>
  <c r="Q14" i="55"/>
  <c r="R14" i="55"/>
  <c r="S14" i="55"/>
  <c r="T14" i="55"/>
  <c r="U14" i="55"/>
  <c r="V14" i="55"/>
  <c r="W14" i="55"/>
  <c r="X14" i="55"/>
  <c r="Y14" i="55"/>
  <c r="Y35" i="55"/>
  <c r="Y52" i="55"/>
  <c r="L16" i="55"/>
  <c r="M16" i="55"/>
  <c r="N16" i="55"/>
  <c r="O16" i="55"/>
  <c r="P16" i="55"/>
  <c r="Q16" i="55"/>
  <c r="R16" i="55"/>
  <c r="S16" i="55"/>
  <c r="T16" i="55"/>
  <c r="U16" i="55"/>
  <c r="V16" i="55"/>
  <c r="W16" i="55"/>
  <c r="X16" i="55"/>
  <c r="Y16" i="55"/>
  <c r="Y58" i="55"/>
  <c r="Y59" i="55"/>
  <c r="Y64" i="55"/>
  <c r="X37" i="55"/>
  <c r="X57" i="55"/>
  <c r="X35" i="55"/>
  <c r="X52" i="55"/>
  <c r="X58" i="55"/>
  <c r="X59" i="55"/>
  <c r="X64" i="55"/>
  <c r="W37" i="55"/>
  <c r="W57" i="55"/>
  <c r="W35" i="55"/>
  <c r="W52" i="55"/>
  <c r="W58" i="55"/>
  <c r="W59" i="55"/>
  <c r="W64" i="55"/>
  <c r="V37" i="55"/>
  <c r="F32" i="55"/>
  <c r="V32" i="55"/>
  <c r="V39" i="55"/>
  <c r="V57" i="55"/>
  <c r="V35" i="55"/>
  <c r="V52" i="55"/>
  <c r="V54" i="55"/>
  <c r="V58" i="55"/>
  <c r="V59" i="55"/>
  <c r="V64" i="55"/>
  <c r="U37" i="55"/>
  <c r="U32" i="55"/>
  <c r="U39" i="55"/>
  <c r="U57" i="55"/>
  <c r="U35" i="55"/>
  <c r="U52" i="55"/>
  <c r="U54" i="55"/>
  <c r="U58" i="55"/>
  <c r="U59" i="55"/>
  <c r="U64" i="55"/>
  <c r="T37" i="55"/>
  <c r="T32" i="55"/>
  <c r="T39" i="55"/>
  <c r="T57" i="55"/>
  <c r="T35" i="55"/>
  <c r="T52" i="55"/>
  <c r="T54" i="55"/>
  <c r="T58" i="55"/>
  <c r="T59" i="55"/>
  <c r="T64" i="55"/>
  <c r="S37" i="55"/>
  <c r="S32" i="55"/>
  <c r="S39" i="55"/>
  <c r="S57" i="55"/>
  <c r="S35" i="55"/>
  <c r="S52" i="55"/>
  <c r="S54" i="55"/>
  <c r="S58" i="55"/>
  <c r="S59" i="55"/>
  <c r="S64" i="55"/>
  <c r="R37" i="55"/>
  <c r="R32" i="55"/>
  <c r="R39" i="55"/>
  <c r="R57" i="55"/>
  <c r="R35" i="55"/>
  <c r="R52" i="55"/>
  <c r="R54" i="55"/>
  <c r="R58" i="55"/>
  <c r="R59" i="55"/>
  <c r="R64" i="55"/>
  <c r="Q37" i="55"/>
  <c r="Q32" i="55"/>
  <c r="Q39" i="55"/>
  <c r="Q57" i="55"/>
  <c r="Q35" i="55"/>
  <c r="Q52" i="55"/>
  <c r="Q54" i="55"/>
  <c r="Q58" i="55"/>
  <c r="Q59" i="55"/>
  <c r="Q64" i="55"/>
  <c r="P37" i="55"/>
  <c r="P32" i="55"/>
  <c r="P39" i="55"/>
  <c r="P57" i="55"/>
  <c r="P35" i="55"/>
  <c r="P52" i="55"/>
  <c r="P54" i="55"/>
  <c r="P58" i="55"/>
  <c r="P59" i="55"/>
  <c r="P64" i="55"/>
  <c r="O37" i="55"/>
  <c r="O32" i="55"/>
  <c r="O39" i="55"/>
  <c r="O57" i="55"/>
  <c r="O35" i="55"/>
  <c r="O52" i="55"/>
  <c r="O54" i="55"/>
  <c r="O58" i="55"/>
  <c r="O59" i="55"/>
  <c r="O64" i="55"/>
  <c r="N37" i="55"/>
  <c r="N32" i="55"/>
  <c r="N39" i="55"/>
  <c r="N57" i="55"/>
  <c r="N35" i="55"/>
  <c r="N52" i="55"/>
  <c r="N54" i="55"/>
  <c r="N58" i="55"/>
  <c r="N59" i="55"/>
  <c r="N64" i="55"/>
  <c r="M37" i="55"/>
  <c r="M32" i="55"/>
  <c r="M39" i="55"/>
  <c r="M57" i="55"/>
  <c r="M35" i="55"/>
  <c r="M52" i="55"/>
  <c r="M54" i="55"/>
  <c r="M58" i="55"/>
  <c r="M59" i="55"/>
  <c r="M64" i="55"/>
  <c r="L37" i="55"/>
  <c r="L32" i="55"/>
  <c r="L39" i="55"/>
  <c r="L57" i="55"/>
  <c r="L35" i="55"/>
  <c r="L52" i="55"/>
  <c r="L54" i="55"/>
  <c r="L58" i="55"/>
  <c r="L59" i="55"/>
  <c r="L64" i="55"/>
  <c r="K37" i="55"/>
  <c r="K32" i="55"/>
  <c r="K39" i="55"/>
  <c r="K57" i="55"/>
  <c r="K35" i="55"/>
  <c r="K52" i="55"/>
  <c r="K54" i="55"/>
  <c r="K58" i="55"/>
  <c r="K59" i="55"/>
  <c r="K64" i="55"/>
  <c r="W32" i="55"/>
  <c r="W39" i="55"/>
  <c r="X32" i="55"/>
  <c r="X39" i="55"/>
  <c r="Y32" i="55"/>
  <c r="Y39" i="55"/>
  <c r="Y41" i="55"/>
  <c r="Y40" i="55"/>
  <c r="Y42" i="55"/>
  <c r="Y47" i="55"/>
  <c r="X41" i="55"/>
  <c r="X40" i="55"/>
  <c r="X42" i="55"/>
  <c r="X47" i="55"/>
  <c r="W41" i="55"/>
  <c r="W40" i="55"/>
  <c r="W42" i="55"/>
  <c r="W47" i="55"/>
  <c r="V41" i="55"/>
  <c r="V40" i="55"/>
  <c r="V42" i="55"/>
  <c r="V47" i="55"/>
  <c r="U41" i="55"/>
  <c r="U40" i="55"/>
  <c r="U42" i="55"/>
  <c r="U47" i="55"/>
  <c r="T41" i="55"/>
  <c r="T40" i="55"/>
  <c r="T42" i="55"/>
  <c r="T47" i="55"/>
  <c r="S41" i="55"/>
  <c r="S40" i="55"/>
  <c r="S42" i="55"/>
  <c r="S47" i="55"/>
  <c r="R41" i="55"/>
  <c r="R40" i="55"/>
  <c r="R42" i="55"/>
  <c r="R47" i="55"/>
  <c r="Q41" i="55"/>
  <c r="Q40" i="55"/>
  <c r="Q42" i="55"/>
  <c r="Q47" i="55"/>
  <c r="P41" i="55"/>
  <c r="P40" i="55"/>
  <c r="P42" i="55"/>
  <c r="P47" i="55"/>
  <c r="O41" i="55"/>
  <c r="O40" i="55"/>
  <c r="O42" i="55"/>
  <c r="O47" i="55"/>
  <c r="N41" i="55"/>
  <c r="N40" i="55"/>
  <c r="N42" i="55"/>
  <c r="N47" i="55"/>
  <c r="M41" i="55"/>
  <c r="M40" i="55"/>
  <c r="M42" i="55"/>
  <c r="M47" i="55"/>
  <c r="L41" i="55"/>
  <c r="L40" i="55"/>
  <c r="L42" i="55"/>
  <c r="L47" i="55"/>
  <c r="K41" i="55"/>
  <c r="K40" i="55"/>
  <c r="K42" i="55"/>
  <c r="K47" i="55"/>
  <c r="Y61" i="55"/>
  <c r="Y65" i="55"/>
  <c r="Y66" i="55"/>
  <c r="Y71" i="55"/>
  <c r="X61" i="55"/>
  <c r="X65" i="55"/>
  <c r="X66" i="55"/>
  <c r="X71" i="55"/>
  <c r="W61" i="55"/>
  <c r="W65" i="55"/>
  <c r="W66" i="55"/>
  <c r="W71" i="55"/>
  <c r="V61" i="55"/>
  <c r="V65" i="55"/>
  <c r="V66" i="55"/>
  <c r="V71" i="55"/>
  <c r="U61" i="55"/>
  <c r="U65" i="55"/>
  <c r="U66" i="55"/>
  <c r="U71" i="55"/>
  <c r="T61" i="55"/>
  <c r="T65" i="55"/>
  <c r="T66" i="55"/>
  <c r="T71" i="55"/>
  <c r="S61" i="55"/>
  <c r="S65" i="55"/>
  <c r="S66" i="55"/>
  <c r="S71" i="55"/>
  <c r="R61" i="55"/>
  <c r="R65" i="55"/>
  <c r="R66" i="55"/>
  <c r="R71" i="55"/>
  <c r="Q61" i="55"/>
  <c r="Q65" i="55"/>
  <c r="Q66" i="55"/>
  <c r="Q71" i="55"/>
  <c r="P61" i="55"/>
  <c r="P65" i="55"/>
  <c r="P66" i="55"/>
  <c r="P71" i="55"/>
  <c r="O61" i="55"/>
  <c r="O65" i="55"/>
  <c r="O66" i="55"/>
  <c r="O71" i="55"/>
  <c r="N61" i="55"/>
  <c r="N65" i="55"/>
  <c r="N66" i="55"/>
  <c r="N71" i="55"/>
  <c r="M61" i="55"/>
  <c r="M65" i="55"/>
  <c r="M66" i="55"/>
  <c r="M71" i="55"/>
  <c r="L61" i="55"/>
  <c r="L65" i="55"/>
  <c r="L66" i="55"/>
  <c r="L71" i="55"/>
  <c r="K61" i="55"/>
  <c r="K65" i="55"/>
  <c r="K66" i="55"/>
  <c r="K71" i="55"/>
  <c r="K44" i="55"/>
  <c r="K48" i="55"/>
  <c r="K49" i="55"/>
  <c r="K70" i="55"/>
  <c r="L44" i="55"/>
  <c r="L48" i="55"/>
  <c r="L49" i="55"/>
  <c r="L70" i="55"/>
  <c r="M44" i="55"/>
  <c r="M48" i="55"/>
  <c r="M49" i="55"/>
  <c r="M70" i="55"/>
  <c r="N44" i="55"/>
  <c r="N48" i="55"/>
  <c r="N49" i="55"/>
  <c r="N70" i="55"/>
  <c r="O44" i="55"/>
  <c r="O48" i="55"/>
  <c r="O49" i="55"/>
  <c r="O70" i="55"/>
  <c r="P44" i="55"/>
  <c r="P48" i="55"/>
  <c r="P49" i="55"/>
  <c r="P70" i="55"/>
  <c r="Q44" i="55"/>
  <c r="Q48" i="55"/>
  <c r="Q49" i="55"/>
  <c r="Q70" i="55"/>
  <c r="R44" i="55"/>
  <c r="R48" i="55"/>
  <c r="R49" i="55"/>
  <c r="R70" i="55"/>
  <c r="S44" i="55"/>
  <c r="S48" i="55"/>
  <c r="S49" i="55"/>
  <c r="S70" i="55"/>
  <c r="T44" i="55"/>
  <c r="T48" i="55"/>
  <c r="T49" i="55"/>
  <c r="T70" i="55"/>
  <c r="U44" i="55"/>
  <c r="U48" i="55"/>
  <c r="U49" i="55"/>
  <c r="U70" i="55"/>
  <c r="V44" i="55"/>
  <c r="V48" i="55"/>
  <c r="V49" i="55"/>
  <c r="V70" i="55"/>
  <c r="W44" i="55"/>
  <c r="W48" i="55"/>
  <c r="W49" i="55"/>
  <c r="W70" i="55"/>
  <c r="X44" i="55"/>
  <c r="X48" i="55"/>
  <c r="X49" i="55"/>
  <c r="X70" i="55"/>
  <c r="Y44" i="55"/>
  <c r="Y48" i="55"/>
  <c r="Y49" i="55"/>
  <c r="Y70" i="55"/>
  <c r="L15" i="55"/>
  <c r="M15" i="55"/>
  <c r="N15" i="55"/>
  <c r="O15" i="55"/>
  <c r="P15" i="55"/>
  <c r="Q15" i="55"/>
  <c r="R15" i="55"/>
  <c r="S15" i="55"/>
  <c r="T15" i="55"/>
  <c r="U15" i="55"/>
  <c r="V15" i="55"/>
  <c r="W15" i="55"/>
  <c r="X15" i="55"/>
  <c r="Y15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M28" i="55"/>
  <c r="L28" i="55"/>
  <c r="K28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Y36" i="55"/>
  <c r="Y53" i="55"/>
  <c r="X36" i="55"/>
  <c r="X53" i="55"/>
  <c r="W36" i="55"/>
  <c r="W53" i="55"/>
  <c r="V36" i="55"/>
  <c r="V53" i="55"/>
  <c r="U36" i="55"/>
  <c r="U53" i="55"/>
  <c r="T36" i="55"/>
  <c r="T53" i="55"/>
  <c r="S36" i="55"/>
  <c r="S53" i="55"/>
  <c r="R36" i="55"/>
  <c r="R53" i="55"/>
  <c r="Q36" i="55"/>
  <c r="Q53" i="55"/>
  <c r="P36" i="55"/>
  <c r="P53" i="55"/>
  <c r="O36" i="55"/>
  <c r="O53" i="55"/>
  <c r="N36" i="55"/>
  <c r="N53" i="55"/>
  <c r="M36" i="55"/>
  <c r="M53" i="55"/>
  <c r="L36" i="55"/>
  <c r="L53" i="55"/>
  <c r="K36" i="55"/>
  <c r="K53" i="55"/>
  <c r="G66" i="55"/>
  <c r="H66" i="55"/>
  <c r="F66" i="55"/>
  <c r="Y63" i="55"/>
  <c r="X63" i="55"/>
  <c r="W63" i="55"/>
  <c r="V63" i="55"/>
  <c r="U63" i="55"/>
  <c r="T63" i="55"/>
  <c r="S63" i="55"/>
  <c r="R63" i="55"/>
  <c r="Q63" i="55"/>
  <c r="P63" i="55"/>
  <c r="O63" i="55"/>
  <c r="N63" i="55"/>
  <c r="M63" i="55"/>
  <c r="L63" i="55"/>
  <c r="K63" i="55"/>
  <c r="F49" i="55"/>
  <c r="L46" i="55"/>
  <c r="M46" i="55"/>
  <c r="N46" i="55"/>
  <c r="O46" i="55"/>
  <c r="P46" i="55"/>
  <c r="Q46" i="55"/>
  <c r="R46" i="55"/>
  <c r="S46" i="55"/>
  <c r="T46" i="55"/>
  <c r="U46" i="55"/>
  <c r="V46" i="55"/>
  <c r="W46" i="55"/>
  <c r="X46" i="55"/>
  <c r="Y46" i="55"/>
  <c r="K46" i="55"/>
  <c r="K69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M101" i="55"/>
  <c r="L101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M100" i="55"/>
  <c r="L100" i="55"/>
  <c r="K101" i="55"/>
  <c r="K100" i="55"/>
  <c r="J101" i="55"/>
  <c r="J100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M69" i="55"/>
  <c r="L69" i="55"/>
  <c r="Y30" i="55"/>
  <c r="G49" i="55"/>
  <c r="H49" i="55"/>
  <c r="D70" i="55"/>
  <c r="J32" i="55"/>
  <c r="J30" i="55"/>
  <c r="Y31" i="55"/>
  <c r="M9" i="52"/>
</calcChain>
</file>

<file path=xl/sharedStrings.xml><?xml version="1.0" encoding="utf-8"?>
<sst xmlns="http://schemas.openxmlformats.org/spreadsheetml/2006/main" count="86" uniqueCount="44">
  <si>
    <t>$M</t>
  </si>
  <si>
    <t>CFADS</t>
  </si>
  <si>
    <t>Senior Facility A</t>
  </si>
  <si>
    <t>Balance b/f</t>
  </si>
  <si>
    <t>Repayment</t>
  </si>
  <si>
    <t>Balance c/f</t>
  </si>
  <si>
    <t>Interest rate (total)</t>
  </si>
  <si>
    <t xml:space="preserve">Interest </t>
  </si>
  <si>
    <t xml:space="preserve">Repayments made over [X] </t>
  </si>
  <si>
    <t>% p.a.</t>
  </si>
  <si>
    <t>Quarters in a year</t>
  </si>
  <si>
    <t>Quarter ending</t>
  </si>
  <si>
    <t>x</t>
  </si>
  <si>
    <t>Calculate ?</t>
  </si>
  <si>
    <t>[1,0]</t>
  </si>
  <si>
    <t>Min</t>
  </si>
  <si>
    <t>Min date</t>
  </si>
  <si>
    <t>Qtrs</t>
  </si>
  <si>
    <t>Months in a quarter</t>
  </si>
  <si>
    <t>Quarter reference</t>
  </si>
  <si>
    <t>Covenants</t>
  </si>
  <si>
    <t>Data for plot</t>
  </si>
  <si>
    <t>LLCR calculation</t>
  </si>
  <si>
    <t>Extracts required for demonstration</t>
  </si>
  <si>
    <t>Cost of debt</t>
  </si>
  <si>
    <t>% p.q.</t>
  </si>
  <si>
    <t>Discount factor</t>
  </si>
  <si>
    <t>CFADS (NPV)</t>
  </si>
  <si>
    <t>LLCR</t>
  </si>
  <si>
    <t>Debt balance b/f</t>
  </si>
  <si>
    <t>Summary for plot only</t>
  </si>
  <si>
    <t>LLCR@COD</t>
  </si>
  <si>
    <t>PLCR calculation</t>
  </si>
  <si>
    <t>Project end quarter</t>
  </si>
  <si>
    <t xml:space="preserve">PLCR </t>
  </si>
  <si>
    <t>Discount rate after loan life</t>
  </si>
  <si>
    <t>Last debt period</t>
  </si>
  <si>
    <t>Fixed rate if used</t>
  </si>
  <si>
    <t>#</t>
  </si>
  <si>
    <t>Choice</t>
  </si>
  <si>
    <t>Applied</t>
  </si>
  <si>
    <t>PLCR</t>
  </si>
  <si>
    <t>PLCR@COD</t>
  </si>
  <si>
    <t>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</si>
</sst>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0.00&quot; x&quot;"/>
    <numFmt numFmtId="172" formatCode="&quot;&quot;"/>
    <numFmt numFmtId="173" formatCode="0.00&quot; x&quot;;;#&quot;&quot;"/>
    <numFmt numFmtId="174" formatCode="#,##0.000_);\(#,##0.000\);&quot;- &quot;"/>
  </numFmts>
  <fonts count="32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u/>
      <sz val="10"/>
      <name val="Calibri Light"/>
      <family val="2"/>
      <scheme val="maj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</borders>
  <cellStyleXfs count="64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30" fillId="0" borderId="0" applyNumberFormat="0" applyFill="0"/>
    <xf numFmtId="0" fontId="28" fillId="0" borderId="0" applyNumberFormat="0" applyFill="0" applyBorder="0"/>
    <xf numFmtId="0" fontId="17" fillId="0" borderId="0" applyNumberFormat="0" applyBorder="0"/>
    <xf numFmtId="0" fontId="29" fillId="35" borderId="12" applyNumberFormat="0" applyProtection="0"/>
    <xf numFmtId="0" fontId="27" fillId="37" borderId="12" applyNumberFormat="0"/>
    <xf numFmtId="0" fontId="21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167" fontId="21" fillId="0" borderId="9" applyNumberFormat="0"/>
    <xf numFmtId="0" fontId="23" fillId="34" borderId="12" applyNumberFormat="0">
      <alignment horizontal="center"/>
    </xf>
    <xf numFmtId="169" fontId="20" fillId="0" borderId="10" applyFill="0" applyAlignment="0"/>
    <xf numFmtId="169" fontId="20" fillId="0" borderId="11" applyNumberFormat="0" applyFill="0"/>
    <xf numFmtId="43" fontId="22" fillId="36" borderId="12" applyNumberFormat="0" applyAlignment="0"/>
    <xf numFmtId="15" fontId="1" fillId="0" borderId="0" applyFont="0" applyFill="0" applyBorder="0">
      <alignment horizontal="right"/>
    </xf>
    <xf numFmtId="0" fontId="25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4" fillId="34" borderId="12" applyNumberFormat="0"/>
    <xf numFmtId="0" fontId="20" fillId="0" borderId="13" applyNumberFormat="0" applyFill="0" applyAlignment="0"/>
    <xf numFmtId="0" fontId="31" fillId="9" borderId="0" applyFill="0" applyBorder="0">
      <alignment horizontal="left"/>
    </xf>
  </cellStyleXfs>
  <cellXfs count="30">
    <xf numFmtId="170" fontId="0" fillId="0" borderId="0" xfId="0"/>
    <xf numFmtId="170" fontId="0" fillId="0" borderId="0" xfId="0"/>
    <xf numFmtId="170" fontId="26" fillId="0" borderId="0" xfId="0" applyFont="1"/>
    <xf numFmtId="170" fontId="0" fillId="0" borderId="0" xfId="0" applyBorder="1"/>
    <xf numFmtId="167" fontId="29" fillId="35" borderId="12" xfId="24" applyNumberFormat="1"/>
    <xf numFmtId="15" fontId="23" fillId="34" borderId="12" xfId="54" applyNumberFormat="1">
      <alignment horizontal="center"/>
    </xf>
    <xf numFmtId="170" fontId="25" fillId="0" borderId="0" xfId="59" applyNumberFormat="1" applyFill="1">
      <alignment horizontal="left"/>
    </xf>
    <xf numFmtId="170" fontId="23" fillId="34" borderId="12" xfId="54" applyNumberFormat="1">
      <alignment horizontal="center"/>
    </xf>
    <xf numFmtId="167" fontId="23" fillId="34" borderId="12" xfId="54" applyNumberFormat="1">
      <alignment horizontal="center"/>
    </xf>
    <xf numFmtId="167" fontId="27" fillId="37" borderId="12" xfId="25" applyNumberFormat="1"/>
    <xf numFmtId="170" fontId="29" fillId="35" borderId="12" xfId="24" applyNumberFormat="1"/>
    <xf numFmtId="170" fontId="0" fillId="0" borderId="0" xfId="0" quotePrefix="1"/>
    <xf numFmtId="170" fontId="21" fillId="0" borderId="9" xfId="53" applyNumberFormat="1"/>
    <xf numFmtId="170" fontId="0" fillId="0" borderId="0" xfId="0" applyFill="1" applyBorder="1"/>
    <xf numFmtId="10" fontId="29" fillId="35" borderId="12" xfId="24" applyNumberFormat="1"/>
    <xf numFmtId="170" fontId="21" fillId="9" borderId="12" xfId="26" applyNumberFormat="1"/>
    <xf numFmtId="0" fontId="31" fillId="0" borderId="0" xfId="63" applyFill="1">
      <alignment horizontal="left"/>
    </xf>
    <xf numFmtId="10" fontId="21" fillId="9" borderId="12" xfId="26" applyNumberFormat="1"/>
    <xf numFmtId="171" fontId="0" fillId="0" borderId="0" xfId="0" applyNumberFormat="1"/>
    <xf numFmtId="171" fontId="21" fillId="9" borderId="12" xfId="26" applyNumberFormat="1" applyAlignment="1">
      <alignment horizontal="center"/>
    </xf>
    <xf numFmtId="15" fontId="21" fillId="9" borderId="12" xfId="26" applyNumberFormat="1"/>
    <xf numFmtId="172" fontId="22" fillId="36" borderId="12" xfId="57" applyNumberFormat="1"/>
    <xf numFmtId="173" fontId="27" fillId="37" borderId="12" xfId="25" applyNumberFormat="1"/>
    <xf numFmtId="10" fontId="0" fillId="0" borderId="0" xfId="0" applyNumberFormat="1"/>
    <xf numFmtId="174" fontId="0" fillId="0" borderId="0" xfId="0" applyNumberFormat="1"/>
    <xf numFmtId="173" fontId="21" fillId="9" borderId="12" xfId="26" applyNumberFormat="1"/>
    <xf numFmtId="9" fontId="29" fillId="35" borderId="12" xfId="24" applyNumberFormat="1"/>
    <xf numFmtId="170" fontId="0" fillId="0" borderId="0" xfId="0" applyAlignment="1">
      <alignment horizontal="left" indent="1"/>
    </xf>
    <xf numFmtId="167" fontId="29" fillId="35" borderId="12" xfId="24" applyNumberFormat="1" applyAlignment="1">
      <alignment horizontal="right"/>
    </xf>
    <xf numFmtId="170" fontId="22" fillId="36" borderId="12" xfId="57" applyNumberFormat="1"/>
  </cellXfs>
  <cellStyles count="64">
    <cellStyle name="20% - Accent1" xfId="30" builtinId="30" hidden="1"/>
    <cellStyle name="20% - Accent2" xfId="34" builtinId="34" hidden="1"/>
    <cellStyle name="20% - Accent3" xfId="38" builtinId="38" hidden="1"/>
    <cellStyle name="20% - Accent4" xfId="42" builtinId="42" hidden="1"/>
    <cellStyle name="20% - Accent5" xfId="46" builtinId="46" hidden="1"/>
    <cellStyle name="20% - Accent6" xfId="50" builtinId="50" hidden="1"/>
    <cellStyle name="40% - Accent1" xfId="31" builtinId="31" hidden="1"/>
    <cellStyle name="40% - Accent2" xfId="35" builtinId="35" hidden="1"/>
    <cellStyle name="40% - Accent3" xfId="39" builtinId="39" hidden="1"/>
    <cellStyle name="40% - Accent4" xfId="43" builtinId="43" hidden="1"/>
    <cellStyle name="40% - Accent5" xfId="47" builtinId="47" hidden="1"/>
    <cellStyle name="40% - Accent6" xfId="51" builtinId="51" hidden="1"/>
    <cellStyle name="60% - Accent1" xfId="32" builtinId="32" hidden="1"/>
    <cellStyle name="60% - Accent2" xfId="36" builtinId="36" hidden="1"/>
    <cellStyle name="60% - Accent3" xfId="40" builtinId="40" hidden="1"/>
    <cellStyle name="60% - Accent4" xfId="44" builtinId="44" hidden="1"/>
    <cellStyle name="60% - Accent5" xfId="48" builtinId="48" hidden="1"/>
    <cellStyle name="60% - Accent6" xfId="52" builtinId="52" hidden="1"/>
    <cellStyle name="Accent1" xfId="29" builtinId="29" hidden="1"/>
    <cellStyle name="Accent2" xfId="33" builtinId="33" hidden="1"/>
    <cellStyle name="Accent3" xfId="37" builtinId="37" hidden="1"/>
    <cellStyle name="Accent4" xfId="41" builtinId="41" hidden="1"/>
    <cellStyle name="Accent5" xfId="45" builtinId="45" hidden="1"/>
    <cellStyle name="Accent6" xfId="49" builtinId="49" hidden="1"/>
    <cellStyle name="Bad" xfId="10" builtinId="27" hidden="1"/>
    <cellStyle name="Calculation" xfId="14" builtinId="22" hidden="1"/>
    <cellStyle name="Cell.Input" xfId="24"/>
    <cellStyle name="Cell.Memo" xfId="22"/>
    <cellStyle name="Cell.System" xfId="25"/>
    <cellStyle name="Cell.Void" xfId="57"/>
    <cellStyle name="Check Cell" xfId="16" builtinId="23" hidden="1"/>
    <cellStyle name="Comma" xfId="1" builtinId="3" customBuiltin="1"/>
    <cellStyle name="Comma [0]" xfId="2" builtinId="6" customBuiltin="1"/>
    <cellStyle name="Comma 1dp" xfId="28"/>
    <cellStyle name="Comma 2dp" xfId="27"/>
    <cellStyle name="Currency" xfId="3" builtinId="4" hidden="1"/>
    <cellStyle name="Currency [0]" xfId="4" builtinId="7" hidden="1"/>
    <cellStyle name="Date" xfId="58"/>
    <cellStyle name="Explanatory Text" xfId="19" builtinId="53" hidden="1"/>
    <cellStyle name="Good" xfId="9" builtinId="26" hidden="1"/>
    <cellStyle name="Header.1" xfId="59"/>
    <cellStyle name="Header.2" xfId="63"/>
    <cellStyle name="Header.Sheet" xfId="21"/>
    <cellStyle name="Header.Table" xfId="54"/>
    <cellStyle name="Heading 1" xfId="6" builtinId="16" hidden="1"/>
    <cellStyle name="Heading 2" xfId="7" builtinId="17" hidden="1"/>
    <cellStyle name="Heading 3" xfId="8" builtinId="18" hidden="1" customBuiltin="1"/>
    <cellStyle name="Heading 4" xfId="60" builtinId="19" hidden="1"/>
    <cellStyle name="Input" xfId="12" builtinId="20" hidden="1"/>
    <cellStyle name="Line.Balance" xfId="53"/>
    <cellStyle name="Line.Calc" xfId="26"/>
    <cellStyle name="Line.Total.Multi" xfId="55"/>
    <cellStyle name="Line.Total.Simple" xfId="56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3" builtinId="10" hidden="1" customBuiltin="1"/>
    <cellStyle name="Output" xfId="13" builtinId="21" hidden="1"/>
    <cellStyle name="TabMinor" xfId="61"/>
    <cellStyle name="TabMinorLine" xfId="62"/>
    <cellStyle name="Title" xfId="5" builtinId="15" hidden="1" customBuiltin="1"/>
    <cellStyle name="Total" xfId="20" builtinId="25" hidden="1"/>
    <cellStyle name="Warning Text" xfId="17" builtinId="11" hidden="1"/>
  </cellStyles>
  <dxfs count="4">
    <dxf>
      <font>
        <color rgb="FFC00000"/>
      </font>
      <fill>
        <patternFill>
          <bgColor rgb="FFFFD1D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C6E0B4"/>
      </font>
      <fill>
        <patternFill>
          <fgColor theme="0" tint="-0.24994659260841701"/>
          <bgColor rgb="FFC6E0B4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  <dxf>
      <font>
        <color rgb="FFC00000"/>
      </font>
      <fill>
        <patternFill>
          <bgColor rgb="FFFFD1D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C6E0B4"/>
      </font>
      <fill>
        <patternFill>
          <fgColor theme="0" tint="-0.24994659260841701"/>
          <bgColor rgb="FFC6E0B4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</dxfs>
  <tableStyles count="0" defaultTableStyle="TableStyleMedium2" defaultPivotStyle="PivotStyleLight16"/>
  <colors>
    <mruColors>
      <color rgb="FFF79C57"/>
      <color rgb="FFFFD1D1"/>
      <color rgb="FFF9F9F9"/>
      <color rgb="FFF6F6F6"/>
      <color rgb="FFFDFDFD"/>
      <color rgb="FFFFA7A9"/>
      <color rgb="FFC6E0B4"/>
      <color rgb="FFD9D9D9"/>
      <color rgb="FFF2F2F2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400" b="1"/>
              <a:t>CFADS (NPV), Debt balance, LLCR and PLCR</a:t>
            </a:r>
          </a:p>
        </c:rich>
      </c:tx>
      <c:layout>
        <c:manualLayout>
          <c:xMode val="edge"/>
          <c:yMode val="edge"/>
          <c:x val="5.3021179808552907E-2"/>
          <c:y val="1.69248639036502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280036629648395E-2"/>
          <c:y val="8.6224915162915555E-2"/>
          <c:w val="0.89547227445103239"/>
          <c:h val="0.67183408796589494"/>
        </c:manualLayout>
      </c:layout>
      <c:barChart>
        <c:barDir val="col"/>
        <c:grouping val="clustered"/>
        <c:varyColors val="0"/>
        <c:ser>
          <c:idx val="0"/>
          <c:order val="0"/>
          <c:tx>
            <c:v>CFADS (NPV)</c:v>
          </c:tx>
          <c:spPr>
            <a:solidFill>
              <a:srgbClr val="F79C57"/>
            </a:solidFill>
            <a:ln>
              <a:noFill/>
            </a:ln>
            <a:effectLst/>
          </c:spPr>
          <c:invertIfNegative val="0"/>
          <c:cat>
            <c:numRef>
              <c:f>PLCR!$K$36:$Y$36</c:f>
              <c:numCache>
                <c:formatCode>d\-mmm\-yy</c:formatCode>
                <c:ptCount val="15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</c:numCache>
            </c:numRef>
          </c:cat>
          <c:val>
            <c:numRef>
              <c:f>PLCR!$K$47:$Y$47</c:f>
              <c:numCache>
                <c:formatCode>#,##0.0_);\(#,##0.0\);"- "</c:formatCode>
                <c:ptCount val="15"/>
                <c:pt idx="0">
                  <c:v>185.20242686696531</c:v>
                </c:pt>
                <c:pt idx="1">
                  <c:v>172.51745720280238</c:v>
                </c:pt>
                <c:pt idx="2">
                  <c:v>159.3739254178374</c:v>
                </c:pt>
                <c:pt idx="3">
                  <c:v>145.76009948556037</c:v>
                </c:pt>
                <c:pt idx="4">
                  <c:v>131.66398072912989</c:v>
                </c:pt>
                <c:pt idx="5">
                  <c:v>117.073298088244</c:v>
                </c:pt>
                <c:pt idx="6">
                  <c:v>101.97550226634705</c:v>
                </c:pt>
                <c:pt idx="7">
                  <c:v>86.357759755716373</c:v>
                </c:pt>
                <c:pt idx="8">
                  <c:v>70.206946737923616</c:v>
                </c:pt>
                <c:pt idx="9">
                  <c:v>53.509642857113676</c:v>
                </c:pt>
                <c:pt idx="10">
                  <c:v>36.252124863492931</c:v>
                </c:pt>
                <c:pt idx="11">
                  <c:v>18.420360124365224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559-9C80-28F8D3A16253}"/>
            </c:ext>
          </c:extLst>
        </c:ser>
        <c:ser>
          <c:idx val="1"/>
          <c:order val="1"/>
          <c:tx>
            <c:strRef>
              <c:f>PLCR!$D$48</c:f>
              <c:strCache>
                <c:ptCount val="1"/>
                <c:pt idx="0">
                  <c:v>Debt balance b/f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PLCR!$K$36:$Y$36</c:f>
              <c:numCache>
                <c:formatCode>d\-mmm\-yy</c:formatCode>
                <c:ptCount val="15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</c:numCache>
            </c:numRef>
          </c:cat>
          <c:val>
            <c:numRef>
              <c:f>PLCR!$K$48:$Y$48</c:f>
              <c:numCache>
                <c:formatCode>#,##0.0_);\(#,##0.0\);"- "</c:formatCode>
                <c:ptCount val="15"/>
                <c:pt idx="0">
                  <c:v>100</c:v>
                </c:pt>
                <c:pt idx="1">
                  <c:v>91.666666666666671</c:v>
                </c:pt>
                <c:pt idx="2">
                  <c:v>83.333333333333343</c:v>
                </c:pt>
                <c:pt idx="3">
                  <c:v>75.000000000000014</c:v>
                </c:pt>
                <c:pt idx="4">
                  <c:v>66.666666666666686</c:v>
                </c:pt>
                <c:pt idx="5">
                  <c:v>58.33333333333335</c:v>
                </c:pt>
                <c:pt idx="6">
                  <c:v>50.000000000000014</c:v>
                </c:pt>
                <c:pt idx="7">
                  <c:v>41.666666666666679</c:v>
                </c:pt>
                <c:pt idx="8">
                  <c:v>33.333333333333343</c:v>
                </c:pt>
                <c:pt idx="9">
                  <c:v>25.000000000000007</c:v>
                </c:pt>
                <c:pt idx="10">
                  <c:v>16.666666666666671</c:v>
                </c:pt>
                <c:pt idx="11">
                  <c:v>8.3333333333333375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A-4559-9C80-28F8D3A1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594972216"/>
        <c:axId val="594976808"/>
      </c:barChart>
      <c:lineChart>
        <c:grouping val="standard"/>
        <c:varyColors val="0"/>
        <c:ser>
          <c:idx val="2"/>
          <c:order val="2"/>
          <c:tx>
            <c:strRef>
              <c:f>PLCR!$D$70</c:f>
              <c:strCache>
                <c:ptCount val="1"/>
                <c:pt idx="0">
                  <c:v>LLCR</c:v>
                </c:pt>
              </c:strCache>
            </c:strRef>
          </c:tx>
          <c:spPr>
            <a:ln w="19050" cap="rnd" cmpd="sng">
              <a:solidFill>
                <a:schemeClr val="accent2">
                  <a:lumMod val="75000"/>
                  <a:lumOff val="25000"/>
                  <a:alpha val="53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chemeClr val="accent2">
                  <a:lumMod val="75000"/>
                  <a:lumOff val="25000"/>
                </a:schemeClr>
              </a:solidFill>
              <a:ln w="12700">
                <a:solidFill>
                  <a:schemeClr val="accent2">
                    <a:lumMod val="75000"/>
                    <a:lumOff val="25000"/>
                  </a:schemeClr>
                </a:solidFill>
              </a:ln>
              <a:effectLst/>
            </c:spPr>
          </c:marker>
          <c:val>
            <c:numRef>
              <c:f>PLCR!$K$70:$Y$70</c:f>
              <c:numCache>
                <c:formatCode>0.00" x";;#""</c:formatCode>
                <c:ptCount val="15"/>
                <c:pt idx="0">
                  <c:v>1.8520242686696531</c:v>
                </c:pt>
                <c:pt idx="1">
                  <c:v>1.8820086240305713</c:v>
                </c:pt>
                <c:pt idx="2">
                  <c:v>1.9124871050140486</c:v>
                </c:pt>
                <c:pt idx="3">
                  <c:v>1.9434679931408045</c:v>
                </c:pt>
                <c:pt idx="4">
                  <c:v>1.9749597109369479</c:v>
                </c:pt>
                <c:pt idx="5">
                  <c:v>2.0069708243698967</c:v>
                </c:pt>
                <c:pt idx="6">
                  <c:v>2.0395100453269404</c:v>
                </c:pt>
                <c:pt idx="7">
                  <c:v>2.0725862341371926</c:v>
                </c:pt>
                <c:pt idx="8">
                  <c:v>2.1062084021377077</c:v>
                </c:pt>
                <c:pt idx="9">
                  <c:v>2.1403857142845464</c:v>
                </c:pt>
                <c:pt idx="10">
                  <c:v>2.1751274918095751</c:v>
                </c:pt>
                <c:pt idx="11">
                  <c:v>2.210443214923826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A-4559-9C80-28F8D3A16253}"/>
            </c:ext>
          </c:extLst>
        </c:ser>
        <c:ser>
          <c:idx val="3"/>
          <c:order val="3"/>
          <c:tx>
            <c:v>PLCR</c:v>
          </c:tx>
          <c:spPr>
            <a:ln w="28575" cap="rnd">
              <a:solidFill>
                <a:schemeClr val="accent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90000"/>
                  <a:lumOff val="10000"/>
                </a:schemeClr>
              </a:solidFill>
              <a:ln w="9525">
                <a:solidFill>
                  <a:schemeClr val="accent2">
                    <a:lumMod val="90000"/>
                    <a:lumOff val="10000"/>
                  </a:schemeClr>
                </a:solidFill>
              </a:ln>
              <a:effectLst/>
            </c:spPr>
          </c:marker>
          <c:val>
            <c:numRef>
              <c:f>PLCR!$K$71:$Y$71</c:f>
              <c:numCache>
                <c:formatCode>0.00" x";;#""</c:formatCode>
                <c:ptCount val="15"/>
                <c:pt idx="0">
                  <c:v>2.3364267956151044</c:v>
                </c:pt>
                <c:pt idx="1">
                  <c:v>2.4170532333385015</c:v>
                </c:pt>
                <c:pt idx="2">
                  <c:v>2.5083930386307558</c:v>
                </c:pt>
                <c:pt idx="3">
                  <c:v>2.6138621684595997</c:v>
                </c:pt>
                <c:pt idx="4">
                  <c:v>2.7385805762610129</c:v>
                </c:pt>
                <c:pt idx="5">
                  <c:v>2.8905892542448859</c:v>
                </c:pt>
                <c:pt idx="6">
                  <c:v>3.0832843156167713</c:v>
                </c:pt>
                <c:pt idx="7">
                  <c:v>3.3407719725393372</c:v>
                </c:pt>
                <c:pt idx="8">
                  <c:v>3.7112559773029226</c:v>
                </c:pt>
                <c:pt idx="9">
                  <c:v>4.3071999407575854</c:v>
                </c:pt>
                <c:pt idx="10">
                  <c:v>5.4659765982655024</c:v>
                </c:pt>
                <c:pt idx="11">
                  <c:v>8.8744126554970784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3-425E-AC6C-F2C92B6F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947616"/>
        <c:axId val="594949912"/>
      </c:lineChart>
      <c:dateAx>
        <c:axId val="5949722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76808"/>
        <c:crosses val="autoZero"/>
        <c:auto val="1"/>
        <c:lblOffset val="100"/>
        <c:baseTimeUnit val="months"/>
        <c:majorUnit val="3"/>
        <c:majorTimeUnit val="months"/>
        <c:minorUnit val="3"/>
        <c:minorTimeUnit val="months"/>
      </c:dateAx>
      <c:valAx>
        <c:axId val="59497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1"/>
                  <a:t>$  Million</a:t>
                </a:r>
              </a:p>
            </c:rich>
          </c:tx>
          <c:layout>
            <c:manualLayout>
              <c:xMode val="edge"/>
              <c:yMode val="edge"/>
              <c:x val="5.6184538811952973E-4"/>
              <c:y val="0.423835941361067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72216"/>
        <c:crosses val="autoZero"/>
        <c:crossBetween val="between"/>
      </c:valAx>
      <c:valAx>
        <c:axId val="594949912"/>
        <c:scaling>
          <c:orientation val="minMax"/>
          <c:min val="0.70000000000000007"/>
        </c:scaling>
        <c:delete val="0"/>
        <c:axPos val="r"/>
        <c:numFmt formatCode="0.00&quot; x&quot;;;#&quot;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47616"/>
        <c:crosses val="max"/>
        <c:crossBetween val="between"/>
      </c:valAx>
      <c:catAx>
        <c:axId val="59494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94949912"/>
        <c:crosses val="autoZero"/>
        <c:auto val="1"/>
        <c:lblAlgn val="ctr"/>
        <c:lblOffset val="100"/>
        <c:noMultiLvlLbl val="0"/>
      </c:catAx>
      <c:spPr>
        <a:solidFill>
          <a:srgbClr val="F9F9F9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3580434464029288E-2"/>
          <c:y val="0.83526609564196763"/>
          <c:w val="0.24885699763708857"/>
          <c:h val="0.14064020578121958"/>
        </c:manualLayout>
      </c:layout>
      <c:overlay val="1"/>
      <c:spPr>
        <a:solidFill>
          <a:schemeClr val="bg1"/>
        </a:solidFill>
        <a:ln>
          <a:solidFill>
            <a:schemeClr val="bg1">
              <a:lumMod val="7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5" Type="http://schemas.openxmlformats.org/officeDocument/2006/relationships/image" Target="../media/image4.png"/><Relationship Id="rId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5</xdr:col>
      <xdr:colOff>188267</xdr:colOff>
      <xdr:row>6</xdr:row>
      <xdr:rowOff>17929</xdr:rowOff>
    </xdr:from>
    <xdr:to>
      <xdr:col>21</xdr:col>
      <xdr:colOff>439278</xdr:colOff>
      <xdr:row>10</xdr:row>
      <xdr:rowOff>2711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57711" y="985548"/>
          <a:ext cx="8153234" cy="629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>
              <a:solidFill>
                <a:schemeClr val="bg1"/>
              </a:solidFill>
            </a:rPr>
            <a:t>Project finance</a:t>
          </a:r>
          <a:r>
            <a:rPr lang="en-AU" sz="4000" b="0" baseline="0">
              <a:solidFill>
                <a:schemeClr val="bg1"/>
              </a:solidFill>
            </a:rPr>
            <a:t> modelling essentials.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179303</xdr:colOff>
      <xdr:row>11</xdr:row>
      <xdr:rowOff>107577</xdr:rowOff>
    </xdr:from>
    <xdr:to>
      <xdr:col>24</xdr:col>
      <xdr:colOff>252413</xdr:colOff>
      <xdr:row>15</xdr:row>
      <xdr:rowOff>17929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27241" y="1941140"/>
          <a:ext cx="9755272" cy="577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Calculating</a:t>
          </a:r>
          <a:r>
            <a:rPr lang="en-AU" sz="2800" baseline="0">
              <a:solidFill>
                <a:schemeClr val="bg1"/>
              </a:solidFill>
            </a:rPr>
            <a:t> a Project Life Cover Ratio (PLCR)</a:t>
          </a:r>
          <a:endParaRPr lang="en-AU" sz="28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209614</xdr:colOff>
      <xdr:row>18</xdr:row>
      <xdr:rowOff>319</xdr:rowOff>
    </xdr:from>
    <xdr:to>
      <xdr:col>14</xdr:col>
      <xdr:colOff>353049</xdr:colOff>
      <xdr:row>21</xdr:row>
      <xdr:rowOff>80682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664511" y="2946195"/>
          <a:ext cx="4562249" cy="571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 u="none">
              <a:solidFill>
                <a:schemeClr val="bg1"/>
              </a:solidFill>
            </a:rPr>
            <a:t>Building on the LLCR</a:t>
          </a:r>
        </a:p>
      </xdr:txBody>
    </xdr:sp>
    <xdr:clientData/>
  </xdr:twoCellAnchor>
  <xdr:twoCellAnchor>
    <xdr:from>
      <xdr:col>5</xdr:col>
      <xdr:colOff>215164</xdr:colOff>
      <xdr:row>21</xdr:row>
      <xdr:rowOff>81798</xdr:rowOff>
    </xdr:from>
    <xdr:to>
      <xdr:col>16</xdr:col>
      <xdr:colOff>349607</xdr:colOff>
      <xdr:row>33</xdr:row>
      <xdr:rowOff>141112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794852" y="3582236"/>
          <a:ext cx="5809755" cy="2059564"/>
          <a:chOff x="2483224" y="4554070"/>
          <a:chExt cx="4950317" cy="1888487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The PLCR calculation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9858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Calculating the discount factor</a:t>
            </a:r>
            <a:br>
              <a:rPr lang="en-AU" sz="1800" b="0">
                <a:solidFill>
                  <a:schemeClr val="bg1"/>
                </a:solidFill>
              </a:rPr>
            </a:br>
            <a:r>
              <a:rPr lang="en-AU" sz="1800" b="0">
                <a:solidFill>
                  <a:schemeClr val="bg1"/>
                </a:solidFill>
              </a:rPr>
              <a:t>- PLCR standard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Calculating the minimum and date of minimum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Plotting the LLCR</a:t>
            </a:r>
            <a:endParaRPr lang="en-AU" sz="1800" b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6</xdr:col>
      <xdr:colOff>401279</xdr:colOff>
      <xdr:row>5</xdr:row>
      <xdr:rowOff>14111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600727" y="39292"/>
          <a:ext cx="3000097" cy="796584"/>
        </a:xfrm>
        <a:prstGeom prst="rect">
          <a:avLst/>
        </a:prstGeom>
      </xdr:spPr>
    </xdr:pic>
    <xdr:clientData/>
  </xdr:twoCellAnchor>
  <xdr:twoCellAnchor editAs="oneCell">
    <xdr:from>
      <xdr:col>22</xdr:col>
      <xdr:colOff>310433</xdr:colOff>
      <xdr:row>1</xdr:row>
      <xdr:rowOff>21300</xdr:rowOff>
    </xdr:from>
    <xdr:to>
      <xdr:col>25</xdr:col>
      <xdr:colOff>91148</xdr:colOff>
      <xdr:row>4</xdr:row>
      <xdr:rowOff>18653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2718333" y="186400"/>
          <a:ext cx="1541783" cy="492653"/>
        </a:xfrm>
        <a:prstGeom prst="rect">
          <a:avLst/>
        </a:prstGeom>
      </xdr:spPr>
    </xdr:pic>
    <xdr:clientData/>
  </xdr:twoCellAnchor>
  <xdr:twoCellAnchor>
    <xdr:from>
      <xdr:col>2</xdr:col>
      <xdr:colOff>178666</xdr:colOff>
      <xdr:row>4</xdr:row>
      <xdr:rowOff>115841</xdr:rowOff>
    </xdr:from>
    <xdr:to>
      <xdr:col>12</xdr:col>
      <xdr:colOff>520988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572366" y="776241"/>
          <a:ext cx="6641522" cy="55726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4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Calculating</a:t>
          </a:r>
          <a:r>
            <a:rPr lang="en-AU" sz="2400" b="0">
              <a:solidFill>
                <a:schemeClr val="accent2"/>
              </a:solidFill>
              <a:latin typeface="+mj-lt"/>
              <a:cs typeface="Calibri Light" panose="020F0302020204030204" pitchFamily="34" charset="0"/>
            </a:rPr>
            <a:t> an PLCR</a:t>
          </a:r>
        </a:p>
      </xdr:txBody>
    </xdr:sp>
    <xdr:clientData/>
  </xdr:twoCellAnchor>
  <xdr:twoCellAnchor>
    <xdr:from>
      <xdr:col>8</xdr:col>
      <xdr:colOff>230349</xdr:colOff>
      <xdr:row>72</xdr:row>
      <xdr:rowOff>99161</xdr:rowOff>
    </xdr:from>
    <xdr:to>
      <xdr:col>25</xdr:col>
      <xdr:colOff>20799</xdr:colOff>
      <xdr:row>104</xdr:row>
      <xdr:rowOff>106063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31E9AE-F927-40D1-8444-1F5DBA8B8B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</xdr:colOff>
      <xdr:row>82</xdr:row>
      <xdr:rowOff>127000</xdr:rowOff>
    </xdr:from>
    <xdr:to>
      <xdr:col>8</xdr:col>
      <xdr:colOff>57150</xdr:colOff>
      <xdr:row>88</xdr:row>
      <xdr:rowOff>120650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C682CA3-45C3-485B-B0F6-660B4B1A9EC1}"/>
            </a:ext>
          </a:extLst>
        </xdr:cNvPr>
        <xdr:cNvGrpSpPr/>
      </xdr:nvGrpSpPr>
      <xdr:grpSpPr>
        <a:xfrm flipH="1">
          <a:off x="1767569" y="14115143"/>
          <a:ext cx="2466974" cy="1014186"/>
          <a:chOff x="515250" y="10086442"/>
          <a:chExt cx="2550684" cy="1179444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C97B2949-C759-4F36-BCF0-2DCA9B9BA774}"/>
              </a:ext>
            </a:extLst>
          </xdr:cNvPr>
          <xdr:cNvGrpSpPr/>
        </xdr:nvGrpSpPr>
        <xdr:grpSpPr>
          <a:xfrm>
            <a:off x="515250" y="10086442"/>
            <a:ext cx="2543849" cy="1179444"/>
            <a:chOff x="5591343" y="1336176"/>
            <a:chExt cx="2598523" cy="1089317"/>
          </a:xfrm>
        </xdr:grpSpPr>
        <xdr:grpSp>
          <xdr:nvGrpSpPr>
            <xdr:cNvPr id="34" name="Group 33">
              <a:extLst>
                <a:ext uri="{FF2B5EF4-FFF2-40B4-BE49-F238E27FC236}">
                  <a16:creationId xmlns:a16="http://schemas.microsoft.com/office/drawing/2014/main" id="{A20FA052-6BF1-4B80-86B6-ADDB16E0454C}"/>
                </a:ext>
              </a:extLst>
            </xdr:cNvPr>
            <xdr:cNvGrpSpPr/>
          </xdr:nvGrpSpPr>
          <xdr:grpSpPr>
            <a:xfrm>
              <a:off x="5591343" y="1336176"/>
              <a:ext cx="2598523" cy="1087623"/>
              <a:chOff x="3599733" y="3396291"/>
              <a:chExt cx="2559064" cy="1278582"/>
            </a:xfrm>
          </xdr:grpSpPr>
          <xdr:sp macro="" textlink="">
            <xdr:nvSpPr>
              <xdr:cNvPr id="36" name="Rectangle 35">
                <a:extLst>
                  <a:ext uri="{FF2B5EF4-FFF2-40B4-BE49-F238E27FC236}">
                    <a16:creationId xmlns:a16="http://schemas.microsoft.com/office/drawing/2014/main" id="{71C9169B-FF3E-43AC-94C1-6489D221DC77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7" name="Straight Connector 36">
                <a:extLst>
                  <a:ext uri="{FF2B5EF4-FFF2-40B4-BE49-F238E27FC236}">
                    <a16:creationId xmlns:a16="http://schemas.microsoft.com/office/drawing/2014/main" id="{B5A68BD3-7A38-4B8E-BC05-5A2D079979AA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8" name="Isosceles Triangle 37">
                <a:extLst>
                  <a:ext uri="{FF2B5EF4-FFF2-40B4-BE49-F238E27FC236}">
                    <a16:creationId xmlns:a16="http://schemas.microsoft.com/office/drawing/2014/main" id="{20102065-4013-4D76-BD16-6BB214D3EE09}"/>
                  </a:ext>
                </a:extLst>
              </xdr:cNvPr>
              <xdr:cNvSpPr/>
            </xdr:nvSpPr>
            <xdr:spPr>
              <a:xfrm rot="16200000">
                <a:off x="3562337" y="3469901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35" name="Rectangle 34">
              <a:extLst>
                <a:ext uri="{FF2B5EF4-FFF2-40B4-BE49-F238E27FC236}">
                  <a16:creationId xmlns:a16="http://schemas.microsoft.com/office/drawing/2014/main" id="{090F1381-C242-4A59-9D2D-70B419451641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Don't make plots too small, they are important windows into your analysis - be generous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but concise.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693BF98B-822A-45B9-8DB0-46D6B86B6F5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83732" y="10253284"/>
            <a:ext cx="282202" cy="33884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68791</xdr:colOff>
      <xdr:row>20</xdr:row>
      <xdr:rowOff>26459</xdr:rowOff>
    </xdr:from>
    <xdr:to>
      <xdr:col>9</xdr:col>
      <xdr:colOff>489951</xdr:colOff>
      <xdr:row>25</xdr:row>
      <xdr:rowOff>88547</xdr:rowOff>
    </xdr:to>
    <xdr:grpSp>
      <xdr:nvGrpSpPr>
        <xdr:cNvPr id="81" name="Group 80">
          <a:extLst>
            <a:ext uri="{FF2B5EF4-FFF2-40B4-BE49-F238E27FC236}">
              <a16:creationId xmlns:a16="http://schemas.microsoft.com/office/drawing/2014/main" id="{94AFED47-BC79-455E-AFB0-43B7F4A11F69}"/>
            </a:ext>
          </a:extLst>
        </xdr:cNvPr>
        <xdr:cNvGrpSpPr/>
      </xdr:nvGrpSpPr>
      <xdr:grpSpPr>
        <a:xfrm>
          <a:off x="2994327" y="3455459"/>
          <a:ext cx="1999588" cy="912535"/>
          <a:chOff x="497122" y="10086442"/>
          <a:chExt cx="2565966" cy="1179444"/>
        </a:xfrm>
      </xdr:grpSpPr>
      <xdr:grpSp>
        <xdr:nvGrpSpPr>
          <xdr:cNvPr id="82" name="Group 81">
            <a:extLst>
              <a:ext uri="{FF2B5EF4-FFF2-40B4-BE49-F238E27FC236}">
                <a16:creationId xmlns:a16="http://schemas.microsoft.com/office/drawing/2014/main" id="{E184CDD0-CCAC-458C-A43C-7C1A90F47A86}"/>
              </a:ext>
            </a:extLst>
          </xdr:cNvPr>
          <xdr:cNvGrpSpPr/>
        </xdr:nvGrpSpPr>
        <xdr:grpSpPr>
          <a:xfrm>
            <a:off x="497122" y="10086442"/>
            <a:ext cx="2561976" cy="1179444"/>
            <a:chOff x="5572826" y="1336176"/>
            <a:chExt cx="2617040" cy="1089317"/>
          </a:xfrm>
        </xdr:grpSpPr>
        <xdr:grpSp>
          <xdr:nvGrpSpPr>
            <xdr:cNvPr id="84" name="Group 83">
              <a:extLst>
                <a:ext uri="{FF2B5EF4-FFF2-40B4-BE49-F238E27FC236}">
                  <a16:creationId xmlns:a16="http://schemas.microsoft.com/office/drawing/2014/main" id="{DF359A0A-E51B-4A19-8015-16CB6BA4AD0F}"/>
                </a:ext>
              </a:extLst>
            </xdr:cNvPr>
            <xdr:cNvGrpSpPr/>
          </xdr:nvGrpSpPr>
          <xdr:grpSpPr>
            <a:xfrm>
              <a:off x="5572826" y="1336176"/>
              <a:ext cx="2617040" cy="1087623"/>
              <a:chOff x="3581497" y="3396291"/>
              <a:chExt cx="2577300" cy="1278582"/>
            </a:xfrm>
          </xdr:grpSpPr>
          <xdr:sp macro="" textlink="">
            <xdr:nvSpPr>
              <xdr:cNvPr id="86" name="Rectangle 85">
                <a:extLst>
                  <a:ext uri="{FF2B5EF4-FFF2-40B4-BE49-F238E27FC236}">
                    <a16:creationId xmlns:a16="http://schemas.microsoft.com/office/drawing/2014/main" id="{8FB63523-B06B-4EE0-9020-6C8E6BF8075C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87" name="Straight Connector 86">
                <a:extLst>
                  <a:ext uri="{FF2B5EF4-FFF2-40B4-BE49-F238E27FC236}">
                    <a16:creationId xmlns:a16="http://schemas.microsoft.com/office/drawing/2014/main" id="{F231E4EF-AA5F-4652-836E-32394CB4CA94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8" name="Isosceles Triangle 87">
                <a:extLst>
                  <a:ext uri="{FF2B5EF4-FFF2-40B4-BE49-F238E27FC236}">
                    <a16:creationId xmlns:a16="http://schemas.microsoft.com/office/drawing/2014/main" id="{DAC0FDFF-7FE1-4034-BD37-6D6ACFD18237}"/>
                  </a:ext>
                </a:extLst>
              </xdr:cNvPr>
              <xdr:cNvSpPr/>
            </xdr:nvSpPr>
            <xdr:spPr>
              <a:xfrm rot="16200000">
                <a:off x="3544101" y="4130917"/>
                <a:ext cx="188003" cy="113211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85" name="Rectangle 84">
              <a:extLst>
                <a:ext uri="{FF2B5EF4-FFF2-40B4-BE49-F238E27FC236}">
                  <a16:creationId xmlns:a16="http://schemas.microsoft.com/office/drawing/2014/main" id="{5B5AA915-75FB-43BD-A2EA-1BAC6171AEFC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Best to make dynamic as interest rate is often staggered and changes over the life of the loan.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83" name="Picture 82">
            <a:extLst>
              <a:ext uri="{FF2B5EF4-FFF2-40B4-BE49-F238E27FC236}">
                <a16:creationId xmlns:a16="http://schemas.microsoft.com/office/drawing/2014/main" id="{31632C07-CC69-4EE5-A07A-AE8FED1E7A83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44499" y="10260356"/>
            <a:ext cx="318589" cy="30749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60"/>
  <sheetViews>
    <sheetView showRowColHeaders="0" tabSelected="1" zoomScale="60" zoomScaleNormal="60" workbookViewId="0"/>
  </sheetViews>
  <sheetFormatPr defaultColWidth="0" defaultRowHeight="13.15" zeroHeight="1" x14ac:dyDescent="0.4"/>
  <cols>
    <col min="1" max="30" width="7.7109375" customWidth="1"/>
    <col min="31" max="36" width="7.7109375" hidden="1" customWidth="1"/>
    <col min="37" max="16384" width="8.78515625" hidden="1"/>
  </cols>
  <sheetData>
    <row r="1" spans="4:34" x14ac:dyDescent="0.4"/>
    <row r="2" spans="4:34" x14ac:dyDescent="0.4"/>
    <row r="3" spans="4:34" x14ac:dyDescent="0.4"/>
    <row r="4" spans="4:34" x14ac:dyDescent="0.4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4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4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4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4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4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4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4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4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4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4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4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4"/>
    <row r="33" x14ac:dyDescent="0.4"/>
    <row r="34" x14ac:dyDescent="0.4"/>
    <row r="35" x14ac:dyDescent="0.4"/>
    <row r="36" x14ac:dyDescent="0.4"/>
    <row r="37" x14ac:dyDescent="0.4"/>
    <row r="38" x14ac:dyDescent="0.4"/>
    <row r="39" x14ac:dyDescent="0.4"/>
    <row r="40" x14ac:dyDescent="0.4"/>
    <row r="41" x14ac:dyDescent="0.4"/>
    <row r="42" x14ac:dyDescent="0.4"/>
    <row r="43" x14ac:dyDescent="0.4"/>
    <row r="44" x14ac:dyDescent="0.4"/>
    <row r="45" x14ac:dyDescent="0.4"/>
    <row r="46" x14ac:dyDescent="0.4"/>
    <row r="47" x14ac:dyDescent="0.4"/>
    <row r="48" x14ac:dyDescent="0.4"/>
    <row r="49" x14ac:dyDescent="0.4"/>
    <row r="50" x14ac:dyDescent="0.4"/>
    <row r="51" x14ac:dyDescent="0.4"/>
    <row r="52" x14ac:dyDescent="0.4"/>
    <row r="53" x14ac:dyDescent="0.4"/>
    <row r="54" x14ac:dyDescent="0.4"/>
    <row r="55" x14ac:dyDescent="0.4"/>
    <row r="56" x14ac:dyDescent="0.4"/>
    <row r="57" x14ac:dyDescent="0.4"/>
    <row r="58" x14ac:dyDescent="0.4"/>
    <row r="59" hidden="1" x14ac:dyDescent="0.4"/>
    <row r="60" hidden="1" x14ac:dyDescent="0.4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749992370372631"/>
    <pageSetUpPr fitToPage="1"/>
  </sheetPr>
  <dimension ref="A1:XFD261"/>
  <sheetViews>
    <sheetView showGridLines="0" zoomScale="70" zoomScaleNormal="70" workbookViewId="0">
      <pane ySplit="8" topLeftCell="A9" activePane="bottomLeft" state="frozen"/>
      <selection pane="bottomLeft"/>
    </sheetView>
  </sheetViews>
  <sheetFormatPr defaultColWidth="0" defaultRowHeight="13.15" zeroHeight="1" x14ac:dyDescent="0.4"/>
  <cols>
    <col min="1" max="2" width="0.92578125" customWidth="1"/>
    <col min="3" max="3" width="0.92578125" style="1" customWidth="1"/>
    <col min="4" max="4" width="23.5" bestFit="1" customWidth="1"/>
    <col min="5" max="5" width="8" bestFit="1" customWidth="1"/>
    <col min="6" max="6" width="9.7109375" bestFit="1" customWidth="1"/>
    <col min="7" max="8" width="9.42578125" customWidth="1"/>
    <col min="9" max="9" width="4.92578125" style="1" customWidth="1"/>
    <col min="10" max="10" width="7.78515625" style="1" bestFit="1" customWidth="1"/>
    <col min="11" max="11" width="9" style="1" bestFit="1" customWidth="1"/>
    <col min="12" max="12" width="9.2109375" bestFit="1" customWidth="1"/>
    <col min="13" max="13" width="9.42578125" bestFit="1" customWidth="1"/>
    <col min="14" max="14" width="9.5" bestFit="1" customWidth="1"/>
    <col min="15" max="15" width="9" bestFit="1" customWidth="1"/>
    <col min="16" max="16" width="9.2109375" bestFit="1" customWidth="1"/>
    <col min="17" max="17" width="9.42578125" bestFit="1" customWidth="1"/>
    <col min="18" max="18" width="9.5" bestFit="1" customWidth="1"/>
    <col min="19" max="19" width="9" bestFit="1" customWidth="1"/>
    <col min="20" max="20" width="9.2109375" bestFit="1" customWidth="1"/>
    <col min="21" max="21" width="9.42578125" bestFit="1" customWidth="1"/>
    <col min="22" max="22" width="9.5" bestFit="1" customWidth="1"/>
    <col min="23" max="23" width="9" bestFit="1" customWidth="1"/>
    <col min="24" max="24" width="9.2109375" bestFit="1" customWidth="1"/>
    <col min="25" max="25" width="9.42578125" bestFit="1" customWidth="1"/>
    <col min="26" max="26" width="8.78515625" customWidth="1"/>
    <col min="27" max="16384" width="8.78515625" hidden="1"/>
  </cols>
  <sheetData>
    <row r="1" spans="3:16384" s="1" customFormat="1" x14ac:dyDescent="0.4"/>
    <row r="2" spans="3:16384" x14ac:dyDescent="0.4">
      <c r="C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3:16384" s="1" customFormat="1" x14ac:dyDescent="0.4"/>
    <row r="4" spans="3:16384" s="1" customFormat="1" x14ac:dyDescent="0.4"/>
    <row r="5" spans="3:16384" s="1" customFormat="1" x14ac:dyDescent="0.4"/>
    <row r="6" spans="3:16384" s="1" customFormat="1" x14ac:dyDescent="0.4"/>
    <row r="7" spans="3:16384" s="1" customFormat="1" x14ac:dyDescent="0.4"/>
    <row r="8" spans="3:16384" s="1" customFormat="1" x14ac:dyDescent="0.4"/>
    <row r="9" spans="3:16384" s="1" customFormat="1" x14ac:dyDescent="0.4"/>
    <row r="10" spans="3:16384" s="1" customFormat="1" ht="15.75" x14ac:dyDescent="0.5">
      <c r="D10" s="6" t="s">
        <v>23</v>
      </c>
    </row>
    <row r="11" spans="3:16384" s="1" customFormat="1" x14ac:dyDescent="0.4">
      <c r="D11" t="s">
        <v>10</v>
      </c>
      <c r="E11"/>
      <c r="F11" s="9">
        <v>4</v>
      </c>
    </row>
    <row r="12" spans="3:16384" s="1" customFormat="1" x14ac:dyDescent="0.4">
      <c r="D12" s="1" t="s">
        <v>18</v>
      </c>
      <c r="F12" s="9">
        <v>3</v>
      </c>
    </row>
    <row r="13" spans="3:16384" s="1" customFormat="1" x14ac:dyDescent="0.4"/>
    <row r="14" spans="3:16384" ht="13.5" customHeight="1" x14ac:dyDescent="0.4">
      <c r="C14"/>
      <c r="D14" s="1" t="s">
        <v>19</v>
      </c>
      <c r="H14" s="1"/>
      <c r="K14" s="8">
        <v>1</v>
      </c>
      <c r="L14" s="8">
        <f>K14+1</f>
        <v>2</v>
      </c>
      <c r="M14" s="8">
        <f t="shared" ref="M14:T14" si="0">L14+1</f>
        <v>3</v>
      </c>
      <c r="N14" s="8">
        <f t="shared" si="0"/>
        <v>4</v>
      </c>
      <c r="O14" s="8">
        <f t="shared" si="0"/>
        <v>5</v>
      </c>
      <c r="P14" s="8">
        <f t="shared" si="0"/>
        <v>6</v>
      </c>
      <c r="Q14" s="8">
        <f t="shared" si="0"/>
        <v>7</v>
      </c>
      <c r="R14" s="8">
        <f t="shared" si="0"/>
        <v>8</v>
      </c>
      <c r="S14" s="8">
        <f t="shared" si="0"/>
        <v>9</v>
      </c>
      <c r="T14" s="8">
        <f t="shared" si="0"/>
        <v>10</v>
      </c>
      <c r="U14" s="8">
        <f t="shared" ref="U14" si="1">T14+1</f>
        <v>11</v>
      </c>
      <c r="V14" s="8">
        <f t="shared" ref="V14" si="2">U14+1</f>
        <v>12</v>
      </c>
      <c r="W14" s="8">
        <f t="shared" ref="W14" si="3">V14+1</f>
        <v>13</v>
      </c>
      <c r="X14" s="8">
        <f t="shared" ref="X14" si="4">W14+1</f>
        <v>14</v>
      </c>
      <c r="Y14" s="8">
        <f t="shared" ref="Y14" si="5">X14+1</f>
        <v>15</v>
      </c>
      <c r="AA14" s="1"/>
    </row>
    <row r="15" spans="3:16384" s="1" customFormat="1" ht="13.5" customHeight="1" x14ac:dyDescent="0.4">
      <c r="D15" s="1" t="s">
        <v>11</v>
      </c>
      <c r="F15" s="5" t="s">
        <v>25</v>
      </c>
      <c r="K15" s="5">
        <v>42916</v>
      </c>
      <c r="L15" s="5">
        <f>EOMONTH(K15,3)</f>
        <v>43008</v>
      </c>
      <c r="M15" s="5">
        <f t="shared" ref="M15:T15" si="6">EOMONTH(L15,3)</f>
        <v>43100</v>
      </c>
      <c r="N15" s="5">
        <f t="shared" si="6"/>
        <v>43190</v>
      </c>
      <c r="O15" s="5">
        <f t="shared" si="6"/>
        <v>43281</v>
      </c>
      <c r="P15" s="5">
        <f t="shared" si="6"/>
        <v>43373</v>
      </c>
      <c r="Q15" s="5">
        <f t="shared" si="6"/>
        <v>43465</v>
      </c>
      <c r="R15" s="5">
        <f t="shared" si="6"/>
        <v>43555</v>
      </c>
      <c r="S15" s="5">
        <f t="shared" si="6"/>
        <v>43646</v>
      </c>
      <c r="T15" s="5">
        <f t="shared" si="6"/>
        <v>43738</v>
      </c>
      <c r="U15" s="5">
        <f t="shared" ref="U15:Y15" si="7">EOMONTH(T15,3)</f>
        <v>43830</v>
      </c>
      <c r="V15" s="5">
        <f t="shared" si="7"/>
        <v>43921</v>
      </c>
      <c r="W15" s="5">
        <f t="shared" si="7"/>
        <v>44012</v>
      </c>
      <c r="X15" s="5">
        <f t="shared" si="7"/>
        <v>44104</v>
      </c>
      <c r="Y15" s="5">
        <f t="shared" si="7"/>
        <v>44196</v>
      </c>
    </row>
    <row r="16" spans="3:16384" ht="13.5" customHeight="1" x14ac:dyDescent="0.4">
      <c r="C16"/>
      <c r="D16" t="s">
        <v>1</v>
      </c>
      <c r="E16" t="s">
        <v>0</v>
      </c>
      <c r="F16" s="26">
        <v>0.02</v>
      </c>
      <c r="G16" s="1"/>
      <c r="H16" s="1"/>
      <c r="K16" s="10">
        <v>15</v>
      </c>
      <c r="L16" s="15">
        <f>K16*(1+$F$16)</f>
        <v>15.3</v>
      </c>
      <c r="M16" s="15">
        <f t="shared" ref="M16:Y16" si="8">L16*(1+$F$16)</f>
        <v>15.606000000000002</v>
      </c>
      <c r="N16" s="15">
        <f t="shared" si="8"/>
        <v>15.918120000000002</v>
      </c>
      <c r="O16" s="15">
        <f t="shared" si="8"/>
        <v>16.236482400000003</v>
      </c>
      <c r="P16" s="15">
        <f t="shared" si="8"/>
        <v>16.561212048000005</v>
      </c>
      <c r="Q16" s="15">
        <f t="shared" si="8"/>
        <v>16.892436288960006</v>
      </c>
      <c r="R16" s="15">
        <f t="shared" si="8"/>
        <v>17.230285014739206</v>
      </c>
      <c r="S16" s="15">
        <f t="shared" si="8"/>
        <v>17.574890715033991</v>
      </c>
      <c r="T16" s="15">
        <f t="shared" si="8"/>
        <v>17.92638852933467</v>
      </c>
      <c r="U16" s="15">
        <f t="shared" si="8"/>
        <v>18.284916299921363</v>
      </c>
      <c r="V16" s="15">
        <f t="shared" si="8"/>
        <v>18.65061462591979</v>
      </c>
      <c r="W16" s="15">
        <f t="shared" si="8"/>
        <v>19.023626918438186</v>
      </c>
      <c r="X16" s="15">
        <f t="shared" si="8"/>
        <v>19.40409945680695</v>
      </c>
      <c r="Y16" s="15">
        <f t="shared" si="8"/>
        <v>19.79218144594309</v>
      </c>
      <c r="AA16" s="1"/>
    </row>
    <row r="17" spans="3:25" s="1" customFormat="1" ht="13.5" customHeight="1" x14ac:dyDescent="0.4"/>
    <row r="18" spans="3:25" x14ac:dyDescent="0.4">
      <c r="C18"/>
      <c r="D18" s="1" t="s">
        <v>8</v>
      </c>
      <c r="E18" t="s">
        <v>17</v>
      </c>
      <c r="F18" s="4">
        <v>12</v>
      </c>
      <c r="H18" s="1"/>
      <c r="K18"/>
      <c r="M18" s="1"/>
      <c r="T18" s="1"/>
      <c r="U18" s="1"/>
      <c r="V18" s="1"/>
      <c r="W18" s="1"/>
      <c r="X18" s="1"/>
      <c r="Y18" s="1"/>
    </row>
    <row r="19" spans="3:25" s="1" customFormat="1" x14ac:dyDescent="0.4">
      <c r="D19" s="13" t="s">
        <v>6</v>
      </c>
      <c r="E19" s="1" t="s">
        <v>9</v>
      </c>
      <c r="F19" s="14">
        <v>0.05</v>
      </c>
    </row>
    <row r="20" spans="3:25" s="1" customFormat="1" x14ac:dyDescent="0.4"/>
    <row r="21" spans="3:25" s="1" customFormat="1" x14ac:dyDescent="0.4">
      <c r="D21" s="16" t="s">
        <v>34</v>
      </c>
    </row>
    <row r="22" spans="3:25" s="1" customFormat="1" x14ac:dyDescent="0.4">
      <c r="D22" s="1" t="s">
        <v>33</v>
      </c>
      <c r="E22" s="1" t="s">
        <v>38</v>
      </c>
      <c r="F22" s="9">
        <v>15</v>
      </c>
    </row>
    <row r="23" spans="3:25" s="1" customFormat="1" x14ac:dyDescent="0.4">
      <c r="D23" s="1" t="s">
        <v>35</v>
      </c>
      <c r="E23" s="13" t="s">
        <v>39</v>
      </c>
      <c r="F23" s="28" t="s">
        <v>43</v>
      </c>
    </row>
    <row r="24" spans="3:25" s="1" customFormat="1" x14ac:dyDescent="0.4">
      <c r="D24" s="27" t="s">
        <v>36</v>
      </c>
      <c r="E24" s="1" t="s">
        <v>9</v>
      </c>
      <c r="F24" s="17">
        <f>INDEX( $K$39:$Y$39, MATCH(F18,K35:Y35,0)) * Constant.QuartersInYear</f>
        <v>0.05</v>
      </c>
    </row>
    <row r="25" spans="3:25" s="1" customFormat="1" x14ac:dyDescent="0.4">
      <c r="D25" s="27" t="s">
        <v>37</v>
      </c>
      <c r="E25" s="1" t="s">
        <v>9</v>
      </c>
      <c r="F25" s="14">
        <v>7.0000000000000007E-2</v>
      </c>
    </row>
    <row r="26" spans="3:25" s="1" customFormat="1" x14ac:dyDescent="0.4">
      <c r="D26" s="27" t="s">
        <v>40</v>
      </c>
      <c r="E26" s="1" t="s">
        <v>9</v>
      </c>
      <c r="F26" s="17">
        <f>IF(PLCR.Rate.Choice="Last debt period",F24,F25)</f>
        <v>7.0000000000000007E-2</v>
      </c>
    </row>
    <row r="27" spans="3:25" s="1" customFormat="1" x14ac:dyDescent="0.4">
      <c r="K27" s="8">
        <f>K14</f>
        <v>1</v>
      </c>
      <c r="L27" s="8">
        <f>L14</f>
        <v>2</v>
      </c>
      <c r="M27" s="8">
        <f>M14</f>
        <v>3</v>
      </c>
      <c r="N27" s="8">
        <f>N14</f>
        <v>4</v>
      </c>
      <c r="O27" s="8">
        <f>O14</f>
        <v>5</v>
      </c>
      <c r="P27" s="8">
        <f>P14</f>
        <v>6</v>
      </c>
      <c r="Q27" s="8">
        <f>Q14</f>
        <v>7</v>
      </c>
      <c r="R27" s="8">
        <f>R14</f>
        <v>8</v>
      </c>
      <c r="S27" s="8">
        <f>S14</f>
        <v>9</v>
      </c>
      <c r="T27" s="8">
        <f>T14</f>
        <v>10</v>
      </c>
      <c r="U27" s="8">
        <f>U14</f>
        <v>11</v>
      </c>
      <c r="V27" s="8">
        <f>V14</f>
        <v>12</v>
      </c>
      <c r="W27" s="8">
        <f>W14</f>
        <v>13</v>
      </c>
      <c r="X27" s="8">
        <f>X14</f>
        <v>14</v>
      </c>
      <c r="Y27" s="8">
        <f>Y14</f>
        <v>15</v>
      </c>
    </row>
    <row r="28" spans="3:25" s="1" customFormat="1" x14ac:dyDescent="0.4">
      <c r="D28" s="16" t="s">
        <v>2</v>
      </c>
      <c r="K28" s="5">
        <f>K15</f>
        <v>42916</v>
      </c>
      <c r="L28" s="5">
        <f>L15</f>
        <v>43008</v>
      </c>
      <c r="M28" s="5">
        <f>M15</f>
        <v>43100</v>
      </c>
      <c r="N28" s="5">
        <f>N15</f>
        <v>43190</v>
      </c>
      <c r="O28" s="5">
        <f>O15</f>
        <v>43281</v>
      </c>
      <c r="P28" s="5">
        <f>P15</f>
        <v>43373</v>
      </c>
      <c r="Q28" s="5">
        <f>Q15</f>
        <v>43465</v>
      </c>
      <c r="R28" s="5">
        <f>R15</f>
        <v>43555</v>
      </c>
      <c r="S28" s="5">
        <f>S15</f>
        <v>43646</v>
      </c>
      <c r="T28" s="5">
        <f>T15</f>
        <v>43738</v>
      </c>
      <c r="U28" s="5">
        <f>U15</f>
        <v>43830</v>
      </c>
      <c r="V28" s="5">
        <f>V15</f>
        <v>43921</v>
      </c>
      <c r="W28" s="5">
        <f>W15</f>
        <v>44012</v>
      </c>
      <c r="X28" s="5">
        <f>X15</f>
        <v>44104</v>
      </c>
      <c r="Y28" s="5">
        <f>Y15</f>
        <v>44196</v>
      </c>
    </row>
    <row r="29" spans="3:25" x14ac:dyDescent="0.4">
      <c r="D29" s="11" t="s">
        <v>3</v>
      </c>
      <c r="E29" s="1" t="s">
        <v>0</v>
      </c>
      <c r="F29" s="1"/>
      <c r="G29" s="1"/>
      <c r="K29" s="10">
        <v>100</v>
      </c>
      <c r="L29">
        <f>K31</f>
        <v>91.666666666666671</v>
      </c>
      <c r="M29" s="1">
        <f t="shared" ref="M29:Y29" si="9">L31</f>
        <v>83.333333333333343</v>
      </c>
      <c r="N29" s="1">
        <f t="shared" si="9"/>
        <v>75.000000000000014</v>
      </c>
      <c r="O29" s="1">
        <f t="shared" si="9"/>
        <v>66.666666666666686</v>
      </c>
      <c r="P29" s="1">
        <f t="shared" si="9"/>
        <v>58.33333333333335</v>
      </c>
      <c r="Q29" s="1">
        <f t="shared" si="9"/>
        <v>50.000000000000014</v>
      </c>
      <c r="R29" s="1">
        <f t="shared" si="9"/>
        <v>41.666666666666679</v>
      </c>
      <c r="S29" s="1">
        <f t="shared" si="9"/>
        <v>33.333333333333343</v>
      </c>
      <c r="T29" s="1">
        <f t="shared" si="9"/>
        <v>25.000000000000007</v>
      </c>
      <c r="U29" s="1">
        <f t="shared" si="9"/>
        <v>16.666666666666671</v>
      </c>
      <c r="V29" s="1">
        <f t="shared" si="9"/>
        <v>8.3333333333333375</v>
      </c>
      <c r="W29" s="1">
        <f t="shared" si="9"/>
        <v>0</v>
      </c>
      <c r="X29" s="1">
        <f t="shared" si="9"/>
        <v>0</v>
      </c>
      <c r="Y29" s="1">
        <f t="shared" si="9"/>
        <v>0</v>
      </c>
    </row>
    <row r="30" spans="3:25" x14ac:dyDescent="0.4">
      <c r="D30" t="s">
        <v>4</v>
      </c>
      <c r="E30" s="1" t="s">
        <v>0</v>
      </c>
      <c r="J30" s="15">
        <f>SUM(K30:Y30)</f>
        <v>-99.999999999999986</v>
      </c>
      <c r="K30" s="1">
        <f>-MIN(K29,$K$29/$F$18)</f>
        <v>-8.3333333333333339</v>
      </c>
      <c r="L30" s="1">
        <f>-MIN(L29,$K$29/$F$18)</f>
        <v>-8.3333333333333339</v>
      </c>
      <c r="M30" s="1">
        <f>-MIN(M29,$K$29/$F$18)</f>
        <v>-8.3333333333333339</v>
      </c>
      <c r="N30" s="1">
        <f>-MIN(N29,$K$29/$F$18)</f>
        <v>-8.3333333333333339</v>
      </c>
      <c r="O30" s="1">
        <f>-MIN(O29,$K$29/$F$18)</f>
        <v>-8.3333333333333339</v>
      </c>
      <c r="P30" s="1">
        <f>-MIN(P29,$K$29/$F$18)</f>
        <v>-8.3333333333333339</v>
      </c>
      <c r="Q30" s="1">
        <f>-MIN(Q29,$K$29/$F$18)</f>
        <v>-8.3333333333333339</v>
      </c>
      <c r="R30" s="1">
        <f>-MIN(R29,$K$29/$F$18)</f>
        <v>-8.3333333333333339</v>
      </c>
      <c r="S30" s="1">
        <f>-MIN(S29,$K$29/$F$18)</f>
        <v>-8.3333333333333339</v>
      </c>
      <c r="T30" s="1">
        <f>-MIN(T29,$K$29/$F$18)</f>
        <v>-8.3333333333333339</v>
      </c>
      <c r="U30" s="1">
        <f>-MIN(U29,$K$29/$F$18)</f>
        <v>-8.3333333333333339</v>
      </c>
      <c r="V30" s="1">
        <f>-MIN(V29,$K$29/$F$18)</f>
        <v>-8.3333333333333339</v>
      </c>
      <c r="W30" s="1">
        <f>-MIN(W29,$K$29/$F$18)</f>
        <v>0</v>
      </c>
      <c r="X30" s="1">
        <f>-MIN(X29,$K$29/$F$18)</f>
        <v>0</v>
      </c>
      <c r="Y30" s="1">
        <f>-MIN(Y29,$K$29/$F$18)</f>
        <v>0</v>
      </c>
    </row>
    <row r="31" spans="3:25" ht="13.5" thickBot="1" x14ac:dyDescent="0.45">
      <c r="D31" t="s">
        <v>5</v>
      </c>
      <c r="E31" s="1" t="s">
        <v>0</v>
      </c>
      <c r="K31" s="12">
        <f>SUM(K29:K30)</f>
        <v>91.666666666666671</v>
      </c>
      <c r="L31" s="12">
        <f t="shared" ref="L31:Y31" si="10">SUM(L29:L30)</f>
        <v>83.333333333333343</v>
      </c>
      <c r="M31" s="12">
        <f t="shared" si="10"/>
        <v>75.000000000000014</v>
      </c>
      <c r="N31" s="12">
        <f t="shared" si="10"/>
        <v>66.666666666666686</v>
      </c>
      <c r="O31" s="12">
        <f t="shared" si="10"/>
        <v>58.33333333333335</v>
      </c>
      <c r="P31" s="12">
        <f t="shared" si="10"/>
        <v>50.000000000000014</v>
      </c>
      <c r="Q31" s="12">
        <f t="shared" si="10"/>
        <v>41.666666666666679</v>
      </c>
      <c r="R31" s="12">
        <f t="shared" si="10"/>
        <v>33.333333333333343</v>
      </c>
      <c r="S31" s="12">
        <f t="shared" si="10"/>
        <v>25.000000000000007</v>
      </c>
      <c r="T31" s="12">
        <f t="shared" si="10"/>
        <v>16.666666666666671</v>
      </c>
      <c r="U31" s="12">
        <f t="shared" si="10"/>
        <v>8.3333333333333375</v>
      </c>
      <c r="V31" s="12">
        <f t="shared" si="10"/>
        <v>0</v>
      </c>
      <c r="W31" s="12">
        <f t="shared" si="10"/>
        <v>0</v>
      </c>
      <c r="X31" s="12">
        <f t="shared" si="10"/>
        <v>0</v>
      </c>
      <c r="Y31" s="12">
        <f t="shared" si="10"/>
        <v>0</v>
      </c>
    </row>
    <row r="32" spans="3:25" x14ac:dyDescent="0.4">
      <c r="D32" t="s">
        <v>7</v>
      </c>
      <c r="E32" s="1" t="s">
        <v>0</v>
      </c>
      <c r="F32" s="17">
        <f>$F$19/Constant.QuartersInYear</f>
        <v>1.2500000000000001E-2</v>
      </c>
      <c r="J32" s="15">
        <f>SUM(K32:Y32)</f>
        <v>8.125</v>
      </c>
      <c r="K32" s="1">
        <f>K29*$F$32</f>
        <v>1.25</v>
      </c>
      <c r="L32" s="1">
        <f t="shared" ref="L32:Y32" si="11">L29*$F$32</f>
        <v>1.1458333333333335</v>
      </c>
      <c r="M32" s="1">
        <f t="shared" si="11"/>
        <v>1.0416666666666667</v>
      </c>
      <c r="N32" s="1">
        <f t="shared" si="11"/>
        <v>0.93750000000000022</v>
      </c>
      <c r="O32" s="1">
        <f t="shared" si="11"/>
        <v>0.83333333333333359</v>
      </c>
      <c r="P32" s="1">
        <f t="shared" si="11"/>
        <v>0.72916666666666696</v>
      </c>
      <c r="Q32" s="1">
        <f t="shared" si="11"/>
        <v>0.62500000000000022</v>
      </c>
      <c r="R32" s="1">
        <f t="shared" si="11"/>
        <v>0.52083333333333348</v>
      </c>
      <c r="S32" s="1">
        <f t="shared" si="11"/>
        <v>0.4166666666666668</v>
      </c>
      <c r="T32" s="1">
        <f t="shared" si="11"/>
        <v>0.31250000000000011</v>
      </c>
      <c r="U32" s="1">
        <f t="shared" si="11"/>
        <v>0.2083333333333334</v>
      </c>
      <c r="V32" s="1">
        <f t="shared" si="11"/>
        <v>0.10416666666666673</v>
      </c>
      <c r="W32" s="1">
        <f t="shared" si="11"/>
        <v>0</v>
      </c>
      <c r="X32" s="1">
        <f t="shared" si="11"/>
        <v>0</v>
      </c>
      <c r="Y32" s="1">
        <f t="shared" si="11"/>
        <v>0</v>
      </c>
    </row>
    <row r="33" spans="4:26" s="1" customFormat="1" x14ac:dyDescent="0.4"/>
    <row r="34" spans="4:26" s="1" customFormat="1" ht="15.75" x14ac:dyDescent="0.5">
      <c r="D34" s="6" t="s">
        <v>22</v>
      </c>
    </row>
    <row r="35" spans="4:26" x14ac:dyDescent="0.4">
      <c r="D35" s="1" t="s">
        <v>19</v>
      </c>
      <c r="K35" s="8">
        <f>K14</f>
        <v>1</v>
      </c>
      <c r="L35" s="8">
        <f>L14</f>
        <v>2</v>
      </c>
      <c r="M35" s="8">
        <f>M14</f>
        <v>3</v>
      </c>
      <c r="N35" s="8">
        <f>N14</f>
        <v>4</v>
      </c>
      <c r="O35" s="8">
        <f>O14</f>
        <v>5</v>
      </c>
      <c r="P35" s="8">
        <f>P14</f>
        <v>6</v>
      </c>
      <c r="Q35" s="8">
        <f>Q14</f>
        <v>7</v>
      </c>
      <c r="R35" s="8">
        <f>R14</f>
        <v>8</v>
      </c>
      <c r="S35" s="8">
        <f>S14</f>
        <v>9</v>
      </c>
      <c r="T35" s="8">
        <f>T14</f>
        <v>10</v>
      </c>
      <c r="U35" s="8">
        <f>U14</f>
        <v>11</v>
      </c>
      <c r="V35" s="8">
        <f>V14</f>
        <v>12</v>
      </c>
      <c r="W35" s="8">
        <f>W14</f>
        <v>13</v>
      </c>
      <c r="X35" s="8">
        <f>X14</f>
        <v>14</v>
      </c>
      <c r="Y35" s="8">
        <f>Y14</f>
        <v>15</v>
      </c>
    </row>
    <row r="36" spans="4:26" s="1" customFormat="1" x14ac:dyDescent="0.4">
      <c r="D36" s="1" t="s">
        <v>11</v>
      </c>
      <c r="K36" s="5">
        <f>K15</f>
        <v>42916</v>
      </c>
      <c r="L36" s="5">
        <f>L15</f>
        <v>43008</v>
      </c>
      <c r="M36" s="5">
        <f>M15</f>
        <v>43100</v>
      </c>
      <c r="N36" s="5">
        <f>N15</f>
        <v>43190</v>
      </c>
      <c r="O36" s="5">
        <f>O15</f>
        <v>43281</v>
      </c>
      <c r="P36" s="5">
        <f>P15</f>
        <v>43373</v>
      </c>
      <c r="Q36" s="5">
        <f>Q15</f>
        <v>43465</v>
      </c>
      <c r="R36" s="5">
        <f>R15</f>
        <v>43555</v>
      </c>
      <c r="S36" s="5">
        <f>S15</f>
        <v>43646</v>
      </c>
      <c r="T36" s="5">
        <f>T15</f>
        <v>43738</v>
      </c>
      <c r="U36" s="5">
        <f>U15</f>
        <v>43830</v>
      </c>
      <c r="V36" s="5">
        <f>V15</f>
        <v>43921</v>
      </c>
      <c r="W36" s="5">
        <f>W15</f>
        <v>44012</v>
      </c>
      <c r="X36" s="5">
        <f>X15</f>
        <v>44104</v>
      </c>
      <c r="Y36" s="5">
        <f>Y15</f>
        <v>44196</v>
      </c>
    </row>
    <row r="37" spans="4:26" s="1" customFormat="1" x14ac:dyDescent="0.4">
      <c r="D37" s="1" t="s">
        <v>13</v>
      </c>
      <c r="E37" s="1" t="s">
        <v>14</v>
      </c>
      <c r="K37" s="21">
        <f t="shared" ref="K37:Y37" si="12">IF(K29&gt;0,1,0)</f>
        <v>1</v>
      </c>
      <c r="L37" s="21">
        <f t="shared" si="12"/>
        <v>1</v>
      </c>
      <c r="M37" s="21">
        <f t="shared" si="12"/>
        <v>1</v>
      </c>
      <c r="N37" s="21">
        <f t="shared" si="12"/>
        <v>1</v>
      </c>
      <c r="O37" s="21">
        <f t="shared" si="12"/>
        <v>1</v>
      </c>
      <c r="P37" s="21">
        <f t="shared" si="12"/>
        <v>1</v>
      </c>
      <c r="Q37" s="21">
        <f t="shared" si="12"/>
        <v>1</v>
      </c>
      <c r="R37" s="21">
        <f t="shared" si="12"/>
        <v>1</v>
      </c>
      <c r="S37" s="21">
        <f t="shared" si="12"/>
        <v>1</v>
      </c>
      <c r="T37" s="21">
        <f t="shared" si="12"/>
        <v>1</v>
      </c>
      <c r="U37" s="21">
        <f t="shared" si="12"/>
        <v>1</v>
      </c>
      <c r="V37" s="21">
        <f t="shared" si="12"/>
        <v>1</v>
      </c>
      <c r="W37" s="21">
        <f t="shared" si="12"/>
        <v>0</v>
      </c>
      <c r="X37" s="21">
        <f t="shared" si="12"/>
        <v>0</v>
      </c>
      <c r="Y37" s="21">
        <f t="shared" si="12"/>
        <v>0</v>
      </c>
    </row>
    <row r="38" spans="4:26" s="1" customFormat="1" x14ac:dyDescent="0.4"/>
    <row r="39" spans="4:26" s="1" customFormat="1" x14ac:dyDescent="0.4">
      <c r="D39" s="1" t="s">
        <v>24</v>
      </c>
      <c r="E39" s="1" t="s">
        <v>25</v>
      </c>
      <c r="K39" s="23">
        <f>IFERROR( K32/K29,0)</f>
        <v>1.2500000000000001E-2</v>
      </c>
      <c r="L39" s="23">
        <f t="shared" ref="L39:Y39" si="13">IFERROR( L32/L29,0)</f>
        <v>1.2500000000000001E-2</v>
      </c>
      <c r="M39" s="23">
        <f t="shared" si="13"/>
        <v>1.2499999999999999E-2</v>
      </c>
      <c r="N39" s="23">
        <f t="shared" si="13"/>
        <v>1.2500000000000001E-2</v>
      </c>
      <c r="O39" s="23">
        <f t="shared" si="13"/>
        <v>1.2500000000000001E-2</v>
      </c>
      <c r="P39" s="23">
        <f t="shared" si="13"/>
        <v>1.2500000000000001E-2</v>
      </c>
      <c r="Q39" s="23">
        <f t="shared" si="13"/>
        <v>1.2500000000000001E-2</v>
      </c>
      <c r="R39" s="23">
        <f t="shared" si="13"/>
        <v>1.2500000000000001E-2</v>
      </c>
      <c r="S39" s="23">
        <f t="shared" si="13"/>
        <v>1.2500000000000001E-2</v>
      </c>
      <c r="T39" s="23">
        <f t="shared" si="13"/>
        <v>1.2500000000000001E-2</v>
      </c>
      <c r="U39" s="23">
        <f t="shared" si="13"/>
        <v>1.2500000000000001E-2</v>
      </c>
      <c r="V39" s="23">
        <f t="shared" si="13"/>
        <v>1.2500000000000001E-2</v>
      </c>
      <c r="W39" s="23">
        <f t="shared" si="13"/>
        <v>0</v>
      </c>
      <c r="X39" s="23">
        <f t="shared" si="13"/>
        <v>0</v>
      </c>
      <c r="Y39" s="23">
        <f t="shared" si="13"/>
        <v>0</v>
      </c>
    </row>
    <row r="40" spans="4:26" s="1" customFormat="1" x14ac:dyDescent="0.4">
      <c r="D40" s="1" t="s">
        <v>26</v>
      </c>
      <c r="K40" s="24">
        <f>1+K39</f>
        <v>1.0125</v>
      </c>
      <c r="L40" s="24">
        <f t="shared" ref="L40:Y40" si="14">1+L39</f>
        <v>1.0125</v>
      </c>
      <c r="M40" s="24">
        <f t="shared" si="14"/>
        <v>1.0125</v>
      </c>
      <c r="N40" s="24">
        <f t="shared" si="14"/>
        <v>1.0125</v>
      </c>
      <c r="O40" s="24">
        <f t="shared" si="14"/>
        <v>1.0125</v>
      </c>
      <c r="P40" s="24">
        <f t="shared" si="14"/>
        <v>1.0125</v>
      </c>
      <c r="Q40" s="24">
        <f t="shared" si="14"/>
        <v>1.0125</v>
      </c>
      <c r="R40" s="24">
        <f t="shared" si="14"/>
        <v>1.0125</v>
      </c>
      <c r="S40" s="24">
        <f t="shared" si="14"/>
        <v>1.0125</v>
      </c>
      <c r="T40" s="24">
        <f t="shared" si="14"/>
        <v>1.0125</v>
      </c>
      <c r="U40" s="24">
        <f t="shared" si="14"/>
        <v>1.0125</v>
      </c>
      <c r="V40" s="24">
        <f t="shared" si="14"/>
        <v>1.0125</v>
      </c>
      <c r="W40" s="24">
        <f t="shared" si="14"/>
        <v>1</v>
      </c>
      <c r="X40" s="24">
        <f t="shared" si="14"/>
        <v>1</v>
      </c>
      <c r="Y40" s="24">
        <f t="shared" si="14"/>
        <v>1</v>
      </c>
    </row>
    <row r="41" spans="4:26" x14ac:dyDescent="0.4">
      <c r="D41" t="s">
        <v>1</v>
      </c>
      <c r="E41" s="1" t="s">
        <v>0</v>
      </c>
      <c r="K41" s="1">
        <f>K16*K37</f>
        <v>15</v>
      </c>
      <c r="L41" s="1">
        <f>L16*L37</f>
        <v>15.3</v>
      </c>
      <c r="M41" s="1">
        <f>M16*M37</f>
        <v>15.606000000000002</v>
      </c>
      <c r="N41" s="1">
        <f>N16*N37</f>
        <v>15.918120000000002</v>
      </c>
      <c r="O41" s="1">
        <f>O16*O37</f>
        <v>16.236482400000003</v>
      </c>
      <c r="P41" s="1">
        <f>P16*P37</f>
        <v>16.561212048000005</v>
      </c>
      <c r="Q41" s="1">
        <f>Q16*Q37</f>
        <v>16.892436288960006</v>
      </c>
      <c r="R41" s="1">
        <f>R16*R37</f>
        <v>17.230285014739206</v>
      </c>
      <c r="S41" s="1">
        <f>S16*S37</f>
        <v>17.574890715033991</v>
      </c>
      <c r="T41" s="1">
        <f>T16*T37</f>
        <v>17.92638852933467</v>
      </c>
      <c r="U41" s="1">
        <f>U16*U37</f>
        <v>18.284916299921363</v>
      </c>
      <c r="V41" s="1">
        <f>V16*V37</f>
        <v>18.65061462591979</v>
      </c>
      <c r="W41" s="1">
        <f>W16*W37</f>
        <v>0</v>
      </c>
      <c r="X41" s="1">
        <f>X16*X37</f>
        <v>0</v>
      </c>
      <c r="Y41" s="1">
        <f>Y16*Y37</f>
        <v>0</v>
      </c>
    </row>
    <row r="42" spans="4:26" s="1" customFormat="1" x14ac:dyDescent="0.4">
      <c r="D42" s="1" t="s">
        <v>27</v>
      </c>
      <c r="E42" s="1" t="s">
        <v>0</v>
      </c>
      <c r="K42" s="1">
        <f>IFERROR( (L42+K41)/K40,0)</f>
        <v>185.20242686696531</v>
      </c>
      <c r="L42" s="1">
        <f>IFERROR( (M42+L41)/L40,0)</f>
        <v>172.51745720280238</v>
      </c>
      <c r="M42" s="1">
        <f>IFERROR( (N42+M41)/M40,0)</f>
        <v>159.3739254178374</v>
      </c>
      <c r="N42" s="1">
        <f>IFERROR( (O42+N41)/N40,0)</f>
        <v>145.76009948556037</v>
      </c>
      <c r="O42" s="1">
        <f>IFERROR( (P42+O41)/O40,0)</f>
        <v>131.66398072912989</v>
      </c>
      <c r="P42" s="1">
        <f>IFERROR( (Q42+P41)/P40,0)</f>
        <v>117.073298088244</v>
      </c>
      <c r="Q42" s="1">
        <f>IFERROR( (R42+Q41)/Q40,0)</f>
        <v>101.97550226634705</v>
      </c>
      <c r="R42" s="1">
        <f>IFERROR( (S42+R41)/R40,0)</f>
        <v>86.357759755716373</v>
      </c>
      <c r="S42" s="1">
        <f>IFERROR( (T42+S41)/S40,0)</f>
        <v>70.206946737923616</v>
      </c>
      <c r="T42" s="1">
        <f>IFERROR( (U42+T41)/T40,0)</f>
        <v>53.509642857113676</v>
      </c>
      <c r="U42" s="1">
        <f>IFERROR( (V42+U41)/U40,0)</f>
        <v>36.252124863492931</v>
      </c>
      <c r="V42" s="1">
        <f>IFERROR( (W42+V41)/V40,0)</f>
        <v>18.420360124365224</v>
      </c>
      <c r="W42" s="1">
        <f>IFERROR( (X42+W41)/W40,0)</f>
        <v>0</v>
      </c>
      <c r="X42" s="1">
        <f>IFERROR( (Y42+X41)/X40,0)</f>
        <v>0</v>
      </c>
      <c r="Y42" s="1">
        <f>IFERROR( (Z42+Y41)/Y40,0)</f>
        <v>0</v>
      </c>
      <c r="Z42" s="29"/>
    </row>
    <row r="43" spans="4:26" s="1" customFormat="1" x14ac:dyDescent="0.4"/>
    <row r="44" spans="4:26" x14ac:dyDescent="0.4">
      <c r="D44" t="s">
        <v>3</v>
      </c>
      <c r="E44" s="1" t="s">
        <v>0</v>
      </c>
      <c r="K44" s="1">
        <f>K29</f>
        <v>100</v>
      </c>
      <c r="L44" s="1">
        <f>L29</f>
        <v>91.666666666666671</v>
      </c>
      <c r="M44" s="1">
        <f>M29</f>
        <v>83.333333333333343</v>
      </c>
      <c r="N44" s="1">
        <f>N29</f>
        <v>75.000000000000014</v>
      </c>
      <c r="O44" s="1">
        <f>O29</f>
        <v>66.666666666666686</v>
      </c>
      <c r="P44" s="1">
        <f>P29</f>
        <v>58.33333333333335</v>
      </c>
      <c r="Q44" s="1">
        <f>Q29</f>
        <v>50.000000000000014</v>
      </c>
      <c r="R44" s="1">
        <f>R29</f>
        <v>41.666666666666679</v>
      </c>
      <c r="S44" s="1">
        <f>S29</f>
        <v>33.333333333333343</v>
      </c>
      <c r="T44" s="1">
        <f>T29</f>
        <v>25.000000000000007</v>
      </c>
      <c r="U44" s="1">
        <f>U29</f>
        <v>16.666666666666671</v>
      </c>
      <c r="V44" s="1">
        <f>V29</f>
        <v>8.3333333333333375</v>
      </c>
      <c r="W44" s="1">
        <f>W29</f>
        <v>0</v>
      </c>
      <c r="X44" s="1">
        <f>X29</f>
        <v>0</v>
      </c>
      <c r="Y44" s="1">
        <f>Y29</f>
        <v>0</v>
      </c>
    </row>
    <row r="45" spans="4:26" x14ac:dyDescent="0.4"/>
    <row r="46" spans="4:26" s="1" customFormat="1" x14ac:dyDescent="0.4">
      <c r="D46" s="16" t="s">
        <v>28</v>
      </c>
      <c r="K46" s="5">
        <f>K$36</f>
        <v>42916</v>
      </c>
      <c r="L46" s="5">
        <f t="shared" ref="L46:Y46" si="15">L$36</f>
        <v>43008</v>
      </c>
      <c r="M46" s="5">
        <f t="shared" si="15"/>
        <v>43100</v>
      </c>
      <c r="N46" s="5">
        <f t="shared" si="15"/>
        <v>43190</v>
      </c>
      <c r="O46" s="5">
        <f t="shared" si="15"/>
        <v>43281</v>
      </c>
      <c r="P46" s="5">
        <f t="shared" si="15"/>
        <v>43373</v>
      </c>
      <c r="Q46" s="5">
        <f t="shared" si="15"/>
        <v>43465</v>
      </c>
      <c r="R46" s="5">
        <f t="shared" si="15"/>
        <v>43555</v>
      </c>
      <c r="S46" s="5">
        <f t="shared" si="15"/>
        <v>43646</v>
      </c>
      <c r="T46" s="5">
        <f t="shared" si="15"/>
        <v>43738</v>
      </c>
      <c r="U46" s="5">
        <f t="shared" si="15"/>
        <v>43830</v>
      </c>
      <c r="V46" s="5">
        <f t="shared" si="15"/>
        <v>43921</v>
      </c>
      <c r="W46" s="5">
        <f t="shared" si="15"/>
        <v>44012</v>
      </c>
      <c r="X46" s="5">
        <f t="shared" si="15"/>
        <v>44104</v>
      </c>
      <c r="Y46" s="5">
        <f t="shared" si="15"/>
        <v>44196</v>
      </c>
    </row>
    <row r="47" spans="4:26" x14ac:dyDescent="0.4">
      <c r="D47" t="s">
        <v>27</v>
      </c>
      <c r="E47" s="1" t="s">
        <v>0</v>
      </c>
      <c r="G47" s="1"/>
      <c r="H47" s="1"/>
      <c r="K47" s="1">
        <f>K42</f>
        <v>185.20242686696531</v>
      </c>
      <c r="L47" s="1">
        <f t="shared" ref="L47:Y47" si="16">L42</f>
        <v>172.51745720280238</v>
      </c>
      <c r="M47" s="1">
        <f t="shared" si="16"/>
        <v>159.3739254178374</v>
      </c>
      <c r="N47" s="1">
        <f t="shared" si="16"/>
        <v>145.76009948556037</v>
      </c>
      <c r="O47" s="1">
        <f t="shared" si="16"/>
        <v>131.66398072912989</v>
      </c>
      <c r="P47" s="1">
        <f t="shared" si="16"/>
        <v>117.073298088244</v>
      </c>
      <c r="Q47" s="1">
        <f t="shared" si="16"/>
        <v>101.97550226634705</v>
      </c>
      <c r="R47" s="1">
        <f t="shared" si="16"/>
        <v>86.357759755716373</v>
      </c>
      <c r="S47" s="1">
        <f t="shared" si="16"/>
        <v>70.206946737923616</v>
      </c>
      <c r="T47" s="1">
        <f t="shared" si="16"/>
        <v>53.509642857113676</v>
      </c>
      <c r="U47" s="1">
        <f t="shared" si="16"/>
        <v>36.252124863492931</v>
      </c>
      <c r="V47" s="1">
        <f t="shared" si="16"/>
        <v>18.420360124365224</v>
      </c>
      <c r="W47" s="1">
        <f t="shared" si="16"/>
        <v>0</v>
      </c>
      <c r="X47" s="1">
        <f t="shared" si="16"/>
        <v>0</v>
      </c>
      <c r="Y47" s="1">
        <f t="shared" si="16"/>
        <v>0</v>
      </c>
    </row>
    <row r="48" spans="4:26" x14ac:dyDescent="0.4">
      <c r="D48" t="s">
        <v>29</v>
      </c>
      <c r="E48" s="1" t="s">
        <v>0</v>
      </c>
      <c r="F48" s="7" t="s">
        <v>31</v>
      </c>
      <c r="G48" s="7" t="s">
        <v>15</v>
      </c>
      <c r="H48" s="7" t="s">
        <v>16</v>
      </c>
      <c r="K48" s="1">
        <f t="shared" ref="K48:Y48" si="17">K44</f>
        <v>100</v>
      </c>
      <c r="L48" s="1">
        <f t="shared" si="17"/>
        <v>91.666666666666671</v>
      </c>
      <c r="M48" s="1">
        <f t="shared" si="17"/>
        <v>83.333333333333343</v>
      </c>
      <c r="N48" s="1">
        <f t="shared" si="17"/>
        <v>75.000000000000014</v>
      </c>
      <c r="O48" s="1">
        <f t="shared" si="17"/>
        <v>66.666666666666686</v>
      </c>
      <c r="P48" s="1">
        <f t="shared" si="17"/>
        <v>58.33333333333335</v>
      </c>
      <c r="Q48" s="1">
        <f t="shared" si="17"/>
        <v>50.000000000000014</v>
      </c>
      <c r="R48" s="1">
        <f t="shared" si="17"/>
        <v>41.666666666666679</v>
      </c>
      <c r="S48" s="1">
        <f t="shared" si="17"/>
        <v>33.333333333333343</v>
      </c>
      <c r="T48" s="1">
        <f t="shared" si="17"/>
        <v>25.000000000000007</v>
      </c>
      <c r="U48" s="1">
        <f t="shared" si="17"/>
        <v>16.666666666666671</v>
      </c>
      <c r="V48" s="1">
        <f t="shared" si="17"/>
        <v>8.3333333333333375</v>
      </c>
      <c r="W48" s="1">
        <f t="shared" si="17"/>
        <v>0</v>
      </c>
      <c r="X48" s="1">
        <f t="shared" si="17"/>
        <v>0</v>
      </c>
      <c r="Y48" s="1">
        <f t="shared" si="17"/>
        <v>0</v>
      </c>
    </row>
    <row r="49" spans="4:26" x14ac:dyDescent="0.4">
      <c r="D49" t="s">
        <v>28</v>
      </c>
      <c r="E49" t="s">
        <v>12</v>
      </c>
      <c r="F49" s="19">
        <f>K49</f>
        <v>1.8520242686696531</v>
      </c>
      <c r="G49" s="19">
        <f>_xlfn.MINIFS( K49:Y49,
                  K49:Y49,"&gt;0"
                )</f>
        <v>1.8520242686696531</v>
      </c>
      <c r="H49" s="20">
        <f>INDEX( $K$15:$Y$15,
                MATCH(G49,$K49:$Y49,0)
              )</f>
        <v>42916</v>
      </c>
      <c r="K49" s="18">
        <f>IFERROR(K47/K48,0) * K$37</f>
        <v>1.8520242686696531</v>
      </c>
      <c r="L49" s="18">
        <f t="shared" ref="L49:Y49" si="18">IFERROR(L47/L48,0) * L$37</f>
        <v>1.8820086240305713</v>
      </c>
      <c r="M49" s="18">
        <f t="shared" si="18"/>
        <v>1.9124871050140486</v>
      </c>
      <c r="N49" s="18">
        <f t="shared" si="18"/>
        <v>1.9434679931408045</v>
      </c>
      <c r="O49" s="18">
        <f t="shared" si="18"/>
        <v>1.9749597109369479</v>
      </c>
      <c r="P49" s="18">
        <f t="shared" si="18"/>
        <v>2.0069708243698967</v>
      </c>
      <c r="Q49" s="18">
        <f t="shared" si="18"/>
        <v>2.0395100453269404</v>
      </c>
      <c r="R49" s="18">
        <f t="shared" si="18"/>
        <v>2.0725862341371926</v>
      </c>
      <c r="S49" s="18">
        <f t="shared" si="18"/>
        <v>2.1062084021377077</v>
      </c>
      <c r="T49" s="18">
        <f t="shared" si="18"/>
        <v>2.1403857142845464</v>
      </c>
      <c r="U49" s="18">
        <f t="shared" si="18"/>
        <v>2.1751274918095751</v>
      </c>
      <c r="V49" s="18">
        <f t="shared" si="18"/>
        <v>2.210443214923826</v>
      </c>
      <c r="W49" s="18">
        <f t="shared" si="18"/>
        <v>0</v>
      </c>
      <c r="X49" s="18">
        <f t="shared" si="18"/>
        <v>0</v>
      </c>
      <c r="Y49" s="18">
        <f t="shared" si="18"/>
        <v>0</v>
      </c>
    </row>
    <row r="50" spans="4:26" ht="12" customHeight="1" x14ac:dyDescent="0.4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4:26" s="1" customFormat="1" ht="15.75" x14ac:dyDescent="0.5">
      <c r="D51" s="6" t="s">
        <v>32</v>
      </c>
    </row>
    <row r="52" spans="4:26" s="1" customFormat="1" x14ac:dyDescent="0.4">
      <c r="D52" s="1" t="s">
        <v>19</v>
      </c>
      <c r="K52" s="8">
        <f>K35</f>
        <v>1</v>
      </c>
      <c r="L52" s="8">
        <f>L35</f>
        <v>2</v>
      </c>
      <c r="M52" s="8">
        <f>M35</f>
        <v>3</v>
      </c>
      <c r="N52" s="8">
        <f>N35</f>
        <v>4</v>
      </c>
      <c r="O52" s="8">
        <f>O35</f>
        <v>5</v>
      </c>
      <c r="P52" s="8">
        <f>P35</f>
        <v>6</v>
      </c>
      <c r="Q52" s="8">
        <f>Q35</f>
        <v>7</v>
      </c>
      <c r="R52" s="8">
        <f>R35</f>
        <v>8</v>
      </c>
      <c r="S52" s="8">
        <f>S35</f>
        <v>9</v>
      </c>
      <c r="T52" s="8">
        <f>T35</f>
        <v>10</v>
      </c>
      <c r="U52" s="8">
        <f>U35</f>
        <v>11</v>
      </c>
      <c r="V52" s="8">
        <f>V35</f>
        <v>12</v>
      </c>
      <c r="W52" s="8">
        <f>W35</f>
        <v>13</v>
      </c>
      <c r="X52" s="8">
        <f>X35</f>
        <v>14</v>
      </c>
      <c r="Y52" s="8">
        <f>Y35</f>
        <v>15</v>
      </c>
    </row>
    <row r="53" spans="4:26" s="1" customFormat="1" x14ac:dyDescent="0.4">
      <c r="D53" s="1" t="s">
        <v>11</v>
      </c>
      <c r="K53" s="5">
        <f>K36</f>
        <v>42916</v>
      </c>
      <c r="L53" s="5">
        <f>L36</f>
        <v>43008</v>
      </c>
      <c r="M53" s="5">
        <f>M36</f>
        <v>43100</v>
      </c>
      <c r="N53" s="5">
        <f>N36</f>
        <v>43190</v>
      </c>
      <c r="O53" s="5">
        <f>O36</f>
        <v>43281</v>
      </c>
      <c r="P53" s="5">
        <f>P36</f>
        <v>43373</v>
      </c>
      <c r="Q53" s="5">
        <f>Q36</f>
        <v>43465</v>
      </c>
      <c r="R53" s="5">
        <f>R36</f>
        <v>43555</v>
      </c>
      <c r="S53" s="5">
        <f>S36</f>
        <v>43646</v>
      </c>
      <c r="T53" s="5">
        <f>T36</f>
        <v>43738</v>
      </c>
      <c r="U53" s="5">
        <f>U36</f>
        <v>43830</v>
      </c>
      <c r="V53" s="5">
        <f>V36</f>
        <v>43921</v>
      </c>
      <c r="W53" s="5">
        <f>W36</f>
        <v>44012</v>
      </c>
      <c r="X53" s="5">
        <f>X36</f>
        <v>44104</v>
      </c>
      <c r="Y53" s="5">
        <f>Y36</f>
        <v>44196</v>
      </c>
    </row>
    <row r="54" spans="4:26" s="1" customFormat="1" x14ac:dyDescent="0.4">
      <c r="D54" s="1" t="s">
        <v>13</v>
      </c>
      <c r="E54" s="1" t="s">
        <v>14</v>
      </c>
      <c r="K54" s="21">
        <f t="shared" ref="K54:Y54" si="19">IF(K52&lt;=Date.Project.End, 1, 0)</f>
        <v>1</v>
      </c>
      <c r="L54" s="21">
        <f t="shared" si="19"/>
        <v>1</v>
      </c>
      <c r="M54" s="21">
        <f t="shared" si="19"/>
        <v>1</v>
      </c>
      <c r="N54" s="21">
        <f t="shared" si="19"/>
        <v>1</v>
      </c>
      <c r="O54" s="21">
        <f t="shared" si="19"/>
        <v>1</v>
      </c>
      <c r="P54" s="21">
        <f t="shared" si="19"/>
        <v>1</v>
      </c>
      <c r="Q54" s="21">
        <f t="shared" si="19"/>
        <v>1</v>
      </c>
      <c r="R54" s="21">
        <f t="shared" si="19"/>
        <v>1</v>
      </c>
      <c r="S54" s="21">
        <f t="shared" si="19"/>
        <v>1</v>
      </c>
      <c r="T54" s="21">
        <f t="shared" si="19"/>
        <v>1</v>
      </c>
      <c r="U54" s="21">
        <f t="shared" si="19"/>
        <v>1</v>
      </c>
      <c r="V54" s="21">
        <f t="shared" si="19"/>
        <v>1</v>
      </c>
      <c r="W54" s="21">
        <f t="shared" si="19"/>
        <v>1</v>
      </c>
      <c r="X54" s="21">
        <f t="shared" si="19"/>
        <v>1</v>
      </c>
      <c r="Y54" s="21">
        <f t="shared" si="19"/>
        <v>1</v>
      </c>
    </row>
    <row r="55" spans="4:26" s="1" customFormat="1" x14ac:dyDescent="0.4">
      <c r="F55" s="7" t="s">
        <v>9</v>
      </c>
    </row>
    <row r="56" spans="4:26" s="1" customFormat="1" x14ac:dyDescent="0.4">
      <c r="D56" s="1" t="s">
        <v>24</v>
      </c>
      <c r="E56" s="1" t="s">
        <v>25</v>
      </c>
      <c r="F56" s="17">
        <f>PLCR.Rate.Applied</f>
        <v>7.0000000000000007E-2</v>
      </c>
      <c r="K56" s="23">
        <f>IF(K37=1,K39,$F$56/Constant.QuartersInYear)</f>
        <v>1.2500000000000001E-2</v>
      </c>
      <c r="L56" s="23">
        <f>IF(L37=1,L39,$F$56/Constant.QuartersInYear)</f>
        <v>1.2500000000000001E-2</v>
      </c>
      <c r="M56" s="23">
        <f>IF(M37=1,M39,$F$56/Constant.QuartersInYear)</f>
        <v>1.2499999999999999E-2</v>
      </c>
      <c r="N56" s="23">
        <f>IF(N37=1,N39,$F$56/Constant.QuartersInYear)</f>
        <v>1.2500000000000001E-2</v>
      </c>
      <c r="O56" s="23">
        <f>IF(O37=1,O39,$F$56/Constant.QuartersInYear)</f>
        <v>1.2500000000000001E-2</v>
      </c>
      <c r="P56" s="23">
        <f>IF(P37=1,P39,$F$56/Constant.QuartersInYear)</f>
        <v>1.2500000000000001E-2</v>
      </c>
      <c r="Q56" s="23">
        <f>IF(Q37=1,Q39,$F$56/Constant.QuartersInYear)</f>
        <v>1.2500000000000001E-2</v>
      </c>
      <c r="R56" s="23">
        <f>IF(R37=1,R39,$F$56/Constant.QuartersInYear)</f>
        <v>1.2500000000000001E-2</v>
      </c>
      <c r="S56" s="23">
        <f>IF(S37=1,S39,$F$56/Constant.QuartersInYear)</f>
        <v>1.2500000000000001E-2</v>
      </c>
      <c r="T56" s="23">
        <f>IF(T37=1,T39,$F$56/Constant.QuartersInYear)</f>
        <v>1.2500000000000001E-2</v>
      </c>
      <c r="U56" s="23">
        <f>IF(U37=1,U39,$F$56/Constant.QuartersInYear)</f>
        <v>1.2500000000000001E-2</v>
      </c>
      <c r="V56" s="23">
        <f>IF(V37=1,V39,$F$56/Constant.QuartersInYear)</f>
        <v>1.2500000000000001E-2</v>
      </c>
      <c r="W56" s="23">
        <f>IF(W37=1,W39,$F$56/Constant.QuartersInYear)</f>
        <v>1.7500000000000002E-2</v>
      </c>
      <c r="X56" s="23">
        <f>IF(X37=1,X39,$F$56/Constant.QuartersInYear)</f>
        <v>1.7500000000000002E-2</v>
      </c>
      <c r="Y56" s="23">
        <f>IF(Y37=1,Y39,$F$56/Constant.QuartersInYear)</f>
        <v>1.7500000000000002E-2</v>
      </c>
    </row>
    <row r="57" spans="4:26" s="1" customFormat="1" x14ac:dyDescent="0.4">
      <c r="D57" s="1" t="s">
        <v>26</v>
      </c>
      <c r="K57" s="24">
        <f>1+K56</f>
        <v>1.0125</v>
      </c>
      <c r="L57" s="24">
        <f t="shared" ref="L57:Y57" si="20">1+L56</f>
        <v>1.0125</v>
      </c>
      <c r="M57" s="24">
        <f t="shared" si="20"/>
        <v>1.0125</v>
      </c>
      <c r="N57" s="24">
        <f t="shared" si="20"/>
        <v>1.0125</v>
      </c>
      <c r="O57" s="24">
        <f t="shared" si="20"/>
        <v>1.0125</v>
      </c>
      <c r="P57" s="24">
        <f t="shared" si="20"/>
        <v>1.0125</v>
      </c>
      <c r="Q57" s="24">
        <f t="shared" si="20"/>
        <v>1.0125</v>
      </c>
      <c r="R57" s="24">
        <f t="shared" si="20"/>
        <v>1.0125</v>
      </c>
      <c r="S57" s="24">
        <f t="shared" si="20"/>
        <v>1.0125</v>
      </c>
      <c r="T57" s="24">
        <f t="shared" si="20"/>
        <v>1.0125</v>
      </c>
      <c r="U57" s="24">
        <f t="shared" si="20"/>
        <v>1.0125</v>
      </c>
      <c r="V57" s="24">
        <f t="shared" si="20"/>
        <v>1.0125</v>
      </c>
      <c r="W57" s="24">
        <f t="shared" si="20"/>
        <v>1.0175000000000001</v>
      </c>
      <c r="X57" s="24">
        <f t="shared" si="20"/>
        <v>1.0175000000000001</v>
      </c>
      <c r="Y57" s="24">
        <f t="shared" si="20"/>
        <v>1.0175000000000001</v>
      </c>
    </row>
    <row r="58" spans="4:26" s="1" customFormat="1" x14ac:dyDescent="0.4">
      <c r="D58" s="1" t="s">
        <v>1</v>
      </c>
      <c r="E58" s="1" t="s">
        <v>0</v>
      </c>
      <c r="K58" s="1">
        <f>K54*K16</f>
        <v>15</v>
      </c>
      <c r="L58" s="1">
        <f>L54*L16</f>
        <v>15.3</v>
      </c>
      <c r="M58" s="1">
        <f>M54*M16</f>
        <v>15.606000000000002</v>
      </c>
      <c r="N58" s="1">
        <f>N54*N16</f>
        <v>15.918120000000002</v>
      </c>
      <c r="O58" s="1">
        <f>O54*O16</f>
        <v>16.236482400000003</v>
      </c>
      <c r="P58" s="1">
        <f>P54*P16</f>
        <v>16.561212048000005</v>
      </c>
      <c r="Q58" s="1">
        <f>Q54*Q16</f>
        <v>16.892436288960006</v>
      </c>
      <c r="R58" s="1">
        <f>R54*R16</f>
        <v>17.230285014739206</v>
      </c>
      <c r="S58" s="1">
        <f>S54*S16</f>
        <v>17.574890715033991</v>
      </c>
      <c r="T58" s="1">
        <f>T54*T16</f>
        <v>17.92638852933467</v>
      </c>
      <c r="U58" s="1">
        <f>U54*U16</f>
        <v>18.284916299921363</v>
      </c>
      <c r="V58" s="1">
        <f>V54*V16</f>
        <v>18.65061462591979</v>
      </c>
      <c r="W58" s="1">
        <f>W54*W16</f>
        <v>19.023626918438186</v>
      </c>
      <c r="X58" s="1">
        <f>X54*X16</f>
        <v>19.40409945680695</v>
      </c>
      <c r="Y58" s="1">
        <f>Y54*Y16</f>
        <v>19.79218144594309</v>
      </c>
    </row>
    <row r="59" spans="4:26" s="1" customFormat="1" x14ac:dyDescent="0.4">
      <c r="D59" s="1" t="s">
        <v>27</v>
      </c>
      <c r="E59" s="1" t="s">
        <v>0</v>
      </c>
      <c r="K59" s="1">
        <f t="shared" ref="K59:X59" si="21">IFERROR( (L59+K58)/K57,0)</f>
        <v>233.64267956151045</v>
      </c>
      <c r="L59" s="1">
        <f t="shared" si="21"/>
        <v>221.56321305602933</v>
      </c>
      <c r="M59" s="1">
        <f t="shared" si="21"/>
        <v>209.03275321922968</v>
      </c>
      <c r="N59" s="1">
        <f t="shared" si="21"/>
        <v>196.03966263447003</v>
      </c>
      <c r="O59" s="1">
        <f t="shared" si="21"/>
        <v>182.5720384174009</v>
      </c>
      <c r="P59" s="1">
        <f t="shared" si="21"/>
        <v>168.6177064976184</v>
      </c>
      <c r="Q59" s="1">
        <f t="shared" si="21"/>
        <v>154.16421578083862</v>
      </c>
      <c r="R59" s="1">
        <f t="shared" si="21"/>
        <v>139.1988321891391</v>
      </c>
      <c r="S59" s="1">
        <f t="shared" si="21"/>
        <v>123.70853257676411</v>
      </c>
      <c r="T59" s="1">
        <f t="shared" si="21"/>
        <v>107.67999851893967</v>
      </c>
      <c r="U59" s="1">
        <f t="shared" si="21"/>
        <v>91.099609971091738</v>
      </c>
      <c r="V59" s="1">
        <f t="shared" si="21"/>
        <v>73.953438795809021</v>
      </c>
      <c r="W59" s="1">
        <f t="shared" si="21"/>
        <v>56.227242154836837</v>
      </c>
      <c r="X59" s="1">
        <f t="shared" si="21"/>
        <v>38.187591974108294</v>
      </c>
      <c r="Y59" s="1">
        <f>IFERROR( (Z59+Y58)/Y57,0)</f>
        <v>19.451775376848243</v>
      </c>
      <c r="Z59" s="29"/>
    </row>
    <row r="60" spans="4:26" s="1" customFormat="1" x14ac:dyDescent="0.4"/>
    <row r="61" spans="4:26" s="1" customFormat="1" x14ac:dyDescent="0.4">
      <c r="D61" s="1" t="s">
        <v>3</v>
      </c>
      <c r="E61" s="1" t="s">
        <v>0</v>
      </c>
      <c r="K61" s="1">
        <f>K29</f>
        <v>100</v>
      </c>
      <c r="L61" s="1">
        <f>L29</f>
        <v>91.666666666666671</v>
      </c>
      <c r="M61" s="1">
        <f>M29</f>
        <v>83.333333333333343</v>
      </c>
      <c r="N61" s="1">
        <f>N29</f>
        <v>75.000000000000014</v>
      </c>
      <c r="O61" s="1">
        <f>O29</f>
        <v>66.666666666666686</v>
      </c>
      <c r="P61" s="1">
        <f>P29</f>
        <v>58.33333333333335</v>
      </c>
      <c r="Q61" s="1">
        <f>Q29</f>
        <v>50.000000000000014</v>
      </c>
      <c r="R61" s="1">
        <f>R29</f>
        <v>41.666666666666679</v>
      </c>
      <c r="S61" s="1">
        <f>S29</f>
        <v>33.333333333333343</v>
      </c>
      <c r="T61" s="1">
        <f>T29</f>
        <v>25.000000000000007</v>
      </c>
      <c r="U61" s="1">
        <f>U29</f>
        <v>16.666666666666671</v>
      </c>
      <c r="V61" s="1">
        <f>V29</f>
        <v>8.3333333333333375</v>
      </c>
      <c r="W61" s="1">
        <f>W29</f>
        <v>0</v>
      </c>
      <c r="X61" s="1">
        <f>X29</f>
        <v>0</v>
      </c>
      <c r="Y61" s="1">
        <f>Y29</f>
        <v>0</v>
      </c>
    </row>
    <row r="62" spans="4:26" s="1" customFormat="1" x14ac:dyDescent="0.4"/>
    <row r="63" spans="4:26" s="1" customFormat="1" x14ac:dyDescent="0.4">
      <c r="D63" s="16" t="s">
        <v>41</v>
      </c>
      <c r="K63" s="5">
        <f>K$36</f>
        <v>42916</v>
      </c>
      <c r="L63" s="5">
        <f t="shared" ref="L63:Y63" si="22">L$36</f>
        <v>43008</v>
      </c>
      <c r="M63" s="5">
        <f t="shared" si="22"/>
        <v>43100</v>
      </c>
      <c r="N63" s="5">
        <f t="shared" si="22"/>
        <v>43190</v>
      </c>
      <c r="O63" s="5">
        <f t="shared" si="22"/>
        <v>43281</v>
      </c>
      <c r="P63" s="5">
        <f t="shared" si="22"/>
        <v>43373</v>
      </c>
      <c r="Q63" s="5">
        <f t="shared" si="22"/>
        <v>43465</v>
      </c>
      <c r="R63" s="5">
        <f t="shared" si="22"/>
        <v>43555</v>
      </c>
      <c r="S63" s="5">
        <f t="shared" si="22"/>
        <v>43646</v>
      </c>
      <c r="T63" s="5">
        <f t="shared" si="22"/>
        <v>43738</v>
      </c>
      <c r="U63" s="5">
        <f t="shared" si="22"/>
        <v>43830</v>
      </c>
      <c r="V63" s="5">
        <f t="shared" si="22"/>
        <v>43921</v>
      </c>
      <c r="W63" s="5">
        <f t="shared" si="22"/>
        <v>44012</v>
      </c>
      <c r="X63" s="5">
        <f t="shared" si="22"/>
        <v>44104</v>
      </c>
      <c r="Y63" s="5">
        <f t="shared" si="22"/>
        <v>44196</v>
      </c>
    </row>
    <row r="64" spans="4:26" s="1" customFormat="1" x14ac:dyDescent="0.4">
      <c r="D64" s="1" t="s">
        <v>27</v>
      </c>
      <c r="E64" s="1" t="s">
        <v>0</v>
      </c>
      <c r="K64" s="1">
        <f>K59</f>
        <v>233.64267956151045</v>
      </c>
      <c r="L64" s="1">
        <f t="shared" ref="L64:Y64" si="23">L59</f>
        <v>221.56321305602933</v>
      </c>
      <c r="M64" s="1">
        <f t="shared" si="23"/>
        <v>209.03275321922968</v>
      </c>
      <c r="N64" s="1">
        <f t="shared" si="23"/>
        <v>196.03966263447003</v>
      </c>
      <c r="O64" s="1">
        <f t="shared" si="23"/>
        <v>182.5720384174009</v>
      </c>
      <c r="P64" s="1">
        <f t="shared" si="23"/>
        <v>168.6177064976184</v>
      </c>
      <c r="Q64" s="1">
        <f t="shared" si="23"/>
        <v>154.16421578083862</v>
      </c>
      <c r="R64" s="1">
        <f t="shared" si="23"/>
        <v>139.1988321891391</v>
      </c>
      <c r="S64" s="1">
        <f t="shared" si="23"/>
        <v>123.70853257676411</v>
      </c>
      <c r="T64" s="1">
        <f t="shared" si="23"/>
        <v>107.67999851893967</v>
      </c>
      <c r="U64" s="1">
        <f t="shared" si="23"/>
        <v>91.099609971091738</v>
      </c>
      <c r="V64" s="1">
        <f t="shared" si="23"/>
        <v>73.953438795809021</v>
      </c>
      <c r="W64" s="1">
        <f t="shared" si="23"/>
        <v>56.227242154836837</v>
      </c>
      <c r="X64" s="1">
        <f t="shared" si="23"/>
        <v>38.187591974108294</v>
      </c>
      <c r="Y64" s="1">
        <f t="shared" si="23"/>
        <v>19.451775376848243</v>
      </c>
    </row>
    <row r="65" spans="4:25" s="1" customFormat="1" x14ac:dyDescent="0.4">
      <c r="D65" s="1" t="s">
        <v>29</v>
      </c>
      <c r="E65" s="1" t="s">
        <v>0</v>
      </c>
      <c r="F65" s="7" t="s">
        <v>42</v>
      </c>
      <c r="G65" s="7" t="s">
        <v>15</v>
      </c>
      <c r="H65" s="7" t="s">
        <v>16</v>
      </c>
      <c r="K65" s="1">
        <f t="shared" ref="K65:Y65" si="24">K61</f>
        <v>100</v>
      </c>
      <c r="L65" s="1">
        <f t="shared" si="24"/>
        <v>91.666666666666671</v>
      </c>
      <c r="M65" s="1">
        <f t="shared" si="24"/>
        <v>83.333333333333343</v>
      </c>
      <c r="N65" s="1">
        <f t="shared" si="24"/>
        <v>75.000000000000014</v>
      </c>
      <c r="O65" s="1">
        <f t="shared" si="24"/>
        <v>66.666666666666686</v>
      </c>
      <c r="P65" s="1">
        <f t="shared" si="24"/>
        <v>58.33333333333335</v>
      </c>
      <c r="Q65" s="1">
        <f t="shared" si="24"/>
        <v>50.000000000000014</v>
      </c>
      <c r="R65" s="1">
        <f t="shared" si="24"/>
        <v>41.666666666666679</v>
      </c>
      <c r="S65" s="1">
        <f t="shared" si="24"/>
        <v>33.333333333333343</v>
      </c>
      <c r="T65" s="1">
        <f t="shared" si="24"/>
        <v>25.000000000000007</v>
      </c>
      <c r="U65" s="1">
        <f t="shared" si="24"/>
        <v>16.666666666666671</v>
      </c>
      <c r="V65" s="1">
        <f t="shared" si="24"/>
        <v>8.3333333333333375</v>
      </c>
      <c r="W65" s="1">
        <f t="shared" si="24"/>
        <v>0</v>
      </c>
      <c r="X65" s="1">
        <f t="shared" si="24"/>
        <v>0</v>
      </c>
      <c r="Y65" s="1">
        <f t="shared" si="24"/>
        <v>0</v>
      </c>
    </row>
    <row r="66" spans="4:25" s="1" customFormat="1" x14ac:dyDescent="0.4">
      <c r="D66" s="1" t="s">
        <v>41</v>
      </c>
      <c r="E66" s="1" t="s">
        <v>12</v>
      </c>
      <c r="F66" s="19">
        <f>K66</f>
        <v>2.3364267956151044</v>
      </c>
      <c r="G66" s="19">
        <f>_xlfn.MINIFS( K66:Y66,
                  K66:Y66,"&gt;0"
                )</f>
        <v>2.3364267956151044</v>
      </c>
      <c r="H66" s="20">
        <f>INDEX( $K$15:$Y$15,
                MATCH(G66,$K66:$Y66,0)
              )</f>
        <v>42916</v>
      </c>
      <c r="K66" s="18">
        <f>IFERROR(K64/K65,0) * K$37</f>
        <v>2.3364267956151044</v>
      </c>
      <c r="L66" s="18">
        <f t="shared" ref="L66:Y66" si="25">IFERROR(L64/L65,0) * L$37</f>
        <v>2.4170532333385015</v>
      </c>
      <c r="M66" s="18">
        <f t="shared" si="25"/>
        <v>2.5083930386307558</v>
      </c>
      <c r="N66" s="18">
        <f t="shared" si="25"/>
        <v>2.6138621684595997</v>
      </c>
      <c r="O66" s="18">
        <f t="shared" si="25"/>
        <v>2.7385805762610129</v>
      </c>
      <c r="P66" s="18">
        <f t="shared" si="25"/>
        <v>2.8905892542448859</v>
      </c>
      <c r="Q66" s="18">
        <f t="shared" si="25"/>
        <v>3.0832843156167713</v>
      </c>
      <c r="R66" s="18">
        <f t="shared" si="25"/>
        <v>3.3407719725393372</v>
      </c>
      <c r="S66" s="18">
        <f t="shared" si="25"/>
        <v>3.7112559773029226</v>
      </c>
      <c r="T66" s="18">
        <f t="shared" si="25"/>
        <v>4.3071999407575854</v>
      </c>
      <c r="U66" s="18">
        <f t="shared" si="25"/>
        <v>5.4659765982655024</v>
      </c>
      <c r="V66" s="18">
        <f t="shared" si="25"/>
        <v>8.8744126554970784</v>
      </c>
      <c r="W66" s="18">
        <f t="shared" si="25"/>
        <v>0</v>
      </c>
      <c r="X66" s="18">
        <f t="shared" si="25"/>
        <v>0</v>
      </c>
      <c r="Y66" s="18">
        <f t="shared" si="25"/>
        <v>0</v>
      </c>
    </row>
    <row r="67" spans="4:25" s="1" customFormat="1" ht="12" customHeight="1" x14ac:dyDescent="0.4"/>
    <row r="68" spans="4:25" s="1" customFormat="1" x14ac:dyDescent="0.4">
      <c r="D68" s="16" t="s">
        <v>30</v>
      </c>
    </row>
    <row r="69" spans="4:25" s="1" customFormat="1" x14ac:dyDescent="0.4">
      <c r="D69" s="1" t="s">
        <v>20</v>
      </c>
      <c r="K69" s="5">
        <f>K$36</f>
        <v>42916</v>
      </c>
      <c r="L69" s="5">
        <f>L36</f>
        <v>43008</v>
      </c>
      <c r="M69" s="5">
        <f>M36</f>
        <v>43100</v>
      </c>
      <c r="N69" s="5">
        <f>N36</f>
        <v>43190</v>
      </c>
      <c r="O69" s="5">
        <f>O36</f>
        <v>43281</v>
      </c>
      <c r="P69" s="5">
        <f>P36</f>
        <v>43373</v>
      </c>
      <c r="Q69" s="5">
        <f>Q36</f>
        <v>43465</v>
      </c>
      <c r="R69" s="5">
        <f>R36</f>
        <v>43555</v>
      </c>
      <c r="S69" s="5">
        <f>S36</f>
        <v>43646</v>
      </c>
      <c r="T69" s="5">
        <f>T36</f>
        <v>43738</v>
      </c>
      <c r="U69" s="5">
        <f>U36</f>
        <v>43830</v>
      </c>
      <c r="V69" s="5">
        <f>V36</f>
        <v>43921</v>
      </c>
      <c r="W69" s="5">
        <f>W36</f>
        <v>44012</v>
      </c>
      <c r="X69" s="5">
        <f>X36</f>
        <v>44104</v>
      </c>
      <c r="Y69" s="5">
        <f>Y36</f>
        <v>44196</v>
      </c>
    </row>
    <row r="70" spans="4:25" x14ac:dyDescent="0.4">
      <c r="D70" t="str">
        <f>D46</f>
        <v>LLCR</v>
      </c>
      <c r="G70" s="1"/>
      <c r="H70" s="1"/>
      <c r="K70" s="25">
        <f>IF( OR(K49=0,K$29=0),NA(), K49)</f>
        <v>1.8520242686696531</v>
      </c>
      <c r="L70" s="25">
        <f>IF( OR(L49=0,L$29=0),NA(), L49)</f>
        <v>1.8820086240305713</v>
      </c>
      <c r="M70" s="25">
        <f>IF( OR(M49=0,M$29=0),NA(), M49)</f>
        <v>1.9124871050140486</v>
      </c>
      <c r="N70" s="25">
        <f>IF( OR(N49=0,N$29=0),NA(), N49)</f>
        <v>1.9434679931408045</v>
      </c>
      <c r="O70" s="25">
        <f>IF( OR(O49=0,O$29=0),NA(), O49)</f>
        <v>1.9749597109369479</v>
      </c>
      <c r="P70" s="25">
        <f>IF( OR(P49=0,P$29=0),NA(), P49)</f>
        <v>2.0069708243698967</v>
      </c>
      <c r="Q70" s="25">
        <f>IF( OR(Q49=0,Q$29=0),NA(), Q49)</f>
        <v>2.0395100453269404</v>
      </c>
      <c r="R70" s="25">
        <f>IF( OR(R49=0,R$29=0),NA(), R49)</f>
        <v>2.0725862341371926</v>
      </c>
      <c r="S70" s="25">
        <f>IF( OR(S49=0,S$29=0),NA(), S49)</f>
        <v>2.1062084021377077</v>
      </c>
      <c r="T70" s="25">
        <f>IF( OR(T49=0,T$29=0),NA(), T49)</f>
        <v>2.1403857142845464</v>
      </c>
      <c r="U70" s="25">
        <f>IF( OR(U49=0,U$29=0),NA(), U49)</f>
        <v>2.1751274918095751</v>
      </c>
      <c r="V70" s="25">
        <f>IF( OR(V49=0,V$29=0),NA(), V49)</f>
        <v>2.210443214923826</v>
      </c>
      <c r="W70" s="25" t="e">
        <f>IF( OR(W49=0,W$29=0),NA(), W49)</f>
        <v>#N/A</v>
      </c>
      <c r="X70" s="25" t="e">
        <f>IF( OR(X49=0,X$29=0),NA(), X49)</f>
        <v>#N/A</v>
      </c>
      <c r="Y70" s="25" t="e">
        <f>IF( OR(Y49=0,Y$29=0),NA(), Y49)</f>
        <v>#N/A</v>
      </c>
    </row>
    <row r="71" spans="4:25" x14ac:dyDescent="0.4">
      <c r="D71" t="s">
        <v>41</v>
      </c>
      <c r="G71" s="1"/>
      <c r="H71" s="1"/>
      <c r="K71" s="25">
        <f>IF( OR(K66=0,K$29=0),NA(), K66)</f>
        <v>2.3364267956151044</v>
      </c>
      <c r="L71" s="25">
        <f t="shared" ref="L71:Y71" si="26">IF( OR(L66=0,L$29=0),NA(), L66)</f>
        <v>2.4170532333385015</v>
      </c>
      <c r="M71" s="25">
        <f t="shared" si="26"/>
        <v>2.5083930386307558</v>
      </c>
      <c r="N71" s="25">
        <f t="shared" si="26"/>
        <v>2.6138621684595997</v>
      </c>
      <c r="O71" s="25">
        <f t="shared" si="26"/>
        <v>2.7385805762610129</v>
      </c>
      <c r="P71" s="25">
        <f t="shared" si="26"/>
        <v>2.8905892542448859</v>
      </c>
      <c r="Q71" s="25">
        <f t="shared" si="26"/>
        <v>3.0832843156167713</v>
      </c>
      <c r="R71" s="25">
        <f t="shared" si="26"/>
        <v>3.3407719725393372</v>
      </c>
      <c r="S71" s="25">
        <f t="shared" si="26"/>
        <v>3.7112559773029226</v>
      </c>
      <c r="T71" s="25">
        <f t="shared" si="26"/>
        <v>4.3071999407575854</v>
      </c>
      <c r="U71" s="25">
        <f t="shared" si="26"/>
        <v>5.4659765982655024</v>
      </c>
      <c r="V71" s="25">
        <f t="shared" si="26"/>
        <v>8.8744126554970784</v>
      </c>
      <c r="W71" s="25" t="e">
        <f t="shared" si="26"/>
        <v>#N/A</v>
      </c>
      <c r="X71" s="25" t="e">
        <f t="shared" si="26"/>
        <v>#N/A</v>
      </c>
      <c r="Y71" s="25" t="e">
        <f t="shared" si="26"/>
        <v>#N/A</v>
      </c>
    </row>
    <row r="72" spans="4:25" x14ac:dyDescent="0.4"/>
    <row r="73" spans="4:25" x14ac:dyDescent="0.4"/>
    <row r="74" spans="4:25" x14ac:dyDescent="0.4"/>
    <row r="75" spans="4:25" x14ac:dyDescent="0.4"/>
    <row r="76" spans="4:25" x14ac:dyDescent="0.4"/>
    <row r="77" spans="4:25" x14ac:dyDescent="0.4"/>
    <row r="78" spans="4:25" x14ac:dyDescent="0.4"/>
    <row r="79" spans="4:25" x14ac:dyDescent="0.4"/>
    <row r="80" spans="4:25" x14ac:dyDescent="0.4"/>
    <row r="81" x14ac:dyDescent="0.4"/>
    <row r="82" x14ac:dyDescent="0.4"/>
    <row r="83" x14ac:dyDescent="0.4"/>
    <row r="84" x14ac:dyDescent="0.4"/>
    <row r="85" x14ac:dyDescent="0.4"/>
    <row r="86" x14ac:dyDescent="0.4"/>
    <row r="87" x14ac:dyDescent="0.4"/>
    <row r="88" x14ac:dyDescent="0.4"/>
    <row r="89" x14ac:dyDescent="0.4"/>
    <row r="90" x14ac:dyDescent="0.4"/>
    <row r="91" x14ac:dyDescent="0.4"/>
    <row r="92" x14ac:dyDescent="0.4"/>
    <row r="93" x14ac:dyDescent="0.4"/>
    <row r="94" x14ac:dyDescent="0.4"/>
    <row r="95" x14ac:dyDescent="0.4"/>
    <row r="96" x14ac:dyDescent="0.4"/>
    <row r="97" spans="10:25" x14ac:dyDescent="0.4"/>
    <row r="98" spans="10:25" x14ac:dyDescent="0.4"/>
    <row r="99" spans="10:25" x14ac:dyDescent="0.4">
      <c r="J99" s="16" t="s">
        <v>21</v>
      </c>
    </row>
    <row r="100" spans="10:25" x14ac:dyDescent="0.4">
      <c r="J100" s="1">
        <f>G68</f>
        <v>0</v>
      </c>
      <c r="K100" s="22">
        <f>IF(K$29=0,NA(),$G$69)</f>
        <v>0</v>
      </c>
      <c r="L100" s="22">
        <f>IF(L$29=0,NA(),$G$69)</f>
        <v>0</v>
      </c>
      <c r="M100" s="22">
        <f>IF(M$29=0,NA(),$G$69)</f>
        <v>0</v>
      </c>
      <c r="N100" s="22">
        <f>IF(N$29=0,NA(),$G$69)</f>
        <v>0</v>
      </c>
      <c r="O100" s="22">
        <f>IF(O$29=0,NA(),$G$69)</f>
        <v>0</v>
      </c>
      <c r="P100" s="22">
        <f>IF(P$29=0,NA(),$G$69)</f>
        <v>0</v>
      </c>
      <c r="Q100" s="22">
        <f>IF(Q$29=0,NA(),$G$69)</f>
        <v>0</v>
      </c>
      <c r="R100" s="22">
        <f>IF(R$29=0,NA(),$G$69)</f>
        <v>0</v>
      </c>
      <c r="S100" s="22">
        <f>IF(S$29=0,NA(),$G$69)</f>
        <v>0</v>
      </c>
      <c r="T100" s="22">
        <f>IF(T$29=0,NA(),$G$69)</f>
        <v>0</v>
      </c>
      <c r="U100" s="22">
        <f>IF(U$29=0,NA(),$G$69)</f>
        <v>0</v>
      </c>
      <c r="V100" s="22">
        <f>IF(V$29=0,NA(),$G$69)</f>
        <v>0</v>
      </c>
      <c r="W100" s="22" t="e">
        <f>IF(W$29=0,NA(),$G$69)</f>
        <v>#N/A</v>
      </c>
      <c r="X100" s="22" t="e">
        <f>IF(X$29=0,NA(),$G$69)</f>
        <v>#N/A</v>
      </c>
      <c r="Y100" s="22" t="e">
        <f>IF(Y$29=0,NA(),$G$69)</f>
        <v>#N/A</v>
      </c>
    </row>
    <row r="101" spans="10:25" x14ac:dyDescent="0.4">
      <c r="J101" s="1">
        <f>H68</f>
        <v>0</v>
      </c>
      <c r="K101" s="22">
        <f>IF(K$29=0,NA(),$H$69)</f>
        <v>0</v>
      </c>
      <c r="L101" s="22">
        <f>IF(L$29=0,NA(),$H$69)</f>
        <v>0</v>
      </c>
      <c r="M101" s="22">
        <f>IF(M$29=0,NA(),$H$69)</f>
        <v>0</v>
      </c>
      <c r="N101" s="22">
        <f>IF(N$29=0,NA(),$H$69)</f>
        <v>0</v>
      </c>
      <c r="O101" s="22">
        <f>IF(O$29=0,NA(),$H$69)</f>
        <v>0</v>
      </c>
      <c r="P101" s="22">
        <f>IF(P$29=0,NA(),$H$69)</f>
        <v>0</v>
      </c>
      <c r="Q101" s="22">
        <f>IF(Q$29=0,NA(),$H$69)</f>
        <v>0</v>
      </c>
      <c r="R101" s="22">
        <f>IF(R$29=0,NA(),$H$69)</f>
        <v>0</v>
      </c>
      <c r="S101" s="22">
        <f>IF(S$29=0,NA(),$H$69)</f>
        <v>0</v>
      </c>
      <c r="T101" s="22">
        <f>IF(T$29=0,NA(),$H$69)</f>
        <v>0</v>
      </c>
      <c r="U101" s="22">
        <f>IF(U$29=0,NA(),$H$69)</f>
        <v>0</v>
      </c>
      <c r="V101" s="22">
        <f>IF(V$29=0,NA(),$H$69)</f>
        <v>0</v>
      </c>
      <c r="W101" s="22" t="e">
        <f>IF(W$29=0,NA(),$H$69)</f>
        <v>#N/A</v>
      </c>
      <c r="X101" s="22" t="e">
        <f>IF(X$29=0,NA(),$H$69)</f>
        <v>#N/A</v>
      </c>
      <c r="Y101" s="22" t="e">
        <f>IF(Y$29=0,NA(),$H$69)</f>
        <v>#N/A</v>
      </c>
    </row>
    <row r="102" spans="10:25" x14ac:dyDescent="0.4"/>
    <row r="103" spans="10:25" x14ac:dyDescent="0.4"/>
    <row r="104" spans="10:25" x14ac:dyDescent="0.4"/>
    <row r="105" spans="10:25" x14ac:dyDescent="0.4"/>
    <row r="106" spans="10:25" x14ac:dyDescent="0.4"/>
    <row r="107" spans="10:25" hidden="1" x14ac:dyDescent="0.4"/>
    <row r="108" spans="10:25" hidden="1" x14ac:dyDescent="0.4"/>
    <row r="109" spans="10:25" hidden="1" x14ac:dyDescent="0.4"/>
    <row r="110" spans="10:25" hidden="1" x14ac:dyDescent="0.4"/>
    <row r="111" spans="10:25" hidden="1" x14ac:dyDescent="0.4"/>
    <row r="112" spans="10:25" hidden="1" x14ac:dyDescent="0.4"/>
    <row r="113" hidden="1" x14ac:dyDescent="0.4"/>
    <row r="114" hidden="1" x14ac:dyDescent="0.4"/>
    <row r="115" hidden="1" x14ac:dyDescent="0.4"/>
    <row r="116" hidden="1" x14ac:dyDescent="0.4"/>
    <row r="117" hidden="1" x14ac:dyDescent="0.4"/>
    <row r="118" hidden="1" x14ac:dyDescent="0.4"/>
    <row r="119" hidden="1" x14ac:dyDescent="0.4"/>
    <row r="120" hidden="1" x14ac:dyDescent="0.4"/>
    <row r="121" hidden="1" x14ac:dyDescent="0.4"/>
    <row r="122" hidden="1" x14ac:dyDescent="0.4"/>
    <row r="123" hidden="1" x14ac:dyDescent="0.4"/>
    <row r="124" hidden="1" x14ac:dyDescent="0.4"/>
    <row r="125" hidden="1" x14ac:dyDescent="0.4"/>
    <row r="126" hidden="1" x14ac:dyDescent="0.4"/>
    <row r="127" hidden="1" x14ac:dyDescent="0.4"/>
    <row r="128" hidden="1" x14ac:dyDescent="0.4"/>
    <row r="129" hidden="1" x14ac:dyDescent="0.4"/>
    <row r="130" hidden="1" x14ac:dyDescent="0.4"/>
    <row r="131" hidden="1" x14ac:dyDescent="0.4"/>
    <row r="132" hidden="1" x14ac:dyDescent="0.4"/>
    <row r="133" hidden="1" x14ac:dyDescent="0.4"/>
    <row r="134" hidden="1" x14ac:dyDescent="0.4"/>
    <row r="135" hidden="1" x14ac:dyDescent="0.4"/>
    <row r="136" hidden="1" x14ac:dyDescent="0.4"/>
    <row r="137" hidden="1" x14ac:dyDescent="0.4"/>
    <row r="138" hidden="1" x14ac:dyDescent="0.4"/>
    <row r="139" hidden="1" x14ac:dyDescent="0.4"/>
    <row r="140" hidden="1" x14ac:dyDescent="0.4"/>
    <row r="141" hidden="1" x14ac:dyDescent="0.4"/>
    <row r="142" hidden="1" x14ac:dyDescent="0.4"/>
    <row r="143" hidden="1" x14ac:dyDescent="0.4"/>
    <row r="144" hidden="1" x14ac:dyDescent="0.4"/>
    <row r="145" hidden="1" x14ac:dyDescent="0.4"/>
    <row r="146" hidden="1" x14ac:dyDescent="0.4"/>
    <row r="147" hidden="1" x14ac:dyDescent="0.4"/>
    <row r="148" hidden="1" x14ac:dyDescent="0.4"/>
    <row r="149" hidden="1" x14ac:dyDescent="0.4"/>
    <row r="150" hidden="1" x14ac:dyDescent="0.4"/>
    <row r="151" hidden="1" x14ac:dyDescent="0.4"/>
    <row r="152" hidden="1" x14ac:dyDescent="0.4"/>
    <row r="153" hidden="1" x14ac:dyDescent="0.4"/>
    <row r="154" hidden="1" x14ac:dyDescent="0.4"/>
    <row r="155" hidden="1" x14ac:dyDescent="0.4"/>
    <row r="156" hidden="1" x14ac:dyDescent="0.4"/>
    <row r="157" hidden="1" x14ac:dyDescent="0.4"/>
    <row r="158" hidden="1" x14ac:dyDescent="0.4"/>
    <row r="159" hidden="1" x14ac:dyDescent="0.4"/>
    <row r="160" hidden="1" x14ac:dyDescent="0.4"/>
    <row r="161" hidden="1" x14ac:dyDescent="0.4"/>
    <row r="162" hidden="1" x14ac:dyDescent="0.4"/>
    <row r="163" hidden="1" x14ac:dyDescent="0.4"/>
    <row r="164" hidden="1" x14ac:dyDescent="0.4"/>
    <row r="165" hidden="1" x14ac:dyDescent="0.4"/>
    <row r="166" hidden="1" x14ac:dyDescent="0.4"/>
    <row r="167" hidden="1" x14ac:dyDescent="0.4"/>
    <row r="168" hidden="1" x14ac:dyDescent="0.4"/>
    <row r="169" hidden="1" x14ac:dyDescent="0.4"/>
    <row r="170" hidden="1" x14ac:dyDescent="0.4"/>
    <row r="171" hidden="1" x14ac:dyDescent="0.4"/>
    <row r="172" hidden="1" x14ac:dyDescent="0.4"/>
    <row r="173" hidden="1" x14ac:dyDescent="0.4"/>
    <row r="174" hidden="1" x14ac:dyDescent="0.4"/>
    <row r="175" hidden="1" x14ac:dyDescent="0.4"/>
    <row r="176" hidden="1" x14ac:dyDescent="0.4"/>
    <row r="177" hidden="1" x14ac:dyDescent="0.4"/>
    <row r="178" hidden="1" x14ac:dyDescent="0.4"/>
    <row r="179" hidden="1" x14ac:dyDescent="0.4"/>
    <row r="180" hidden="1" x14ac:dyDescent="0.4"/>
    <row r="181" hidden="1" x14ac:dyDescent="0.4"/>
    <row r="182" hidden="1" x14ac:dyDescent="0.4"/>
    <row r="183" hidden="1" x14ac:dyDescent="0.4"/>
    <row r="184" hidden="1" x14ac:dyDescent="0.4"/>
    <row r="185" hidden="1" x14ac:dyDescent="0.4"/>
    <row r="186" hidden="1" x14ac:dyDescent="0.4"/>
    <row r="187" hidden="1" x14ac:dyDescent="0.4"/>
    <row r="188" hidden="1" x14ac:dyDescent="0.4"/>
    <row r="189" hidden="1" x14ac:dyDescent="0.4"/>
    <row r="190" hidden="1" x14ac:dyDescent="0.4"/>
    <row r="191" hidden="1" x14ac:dyDescent="0.4"/>
    <row r="192" hidden="1" x14ac:dyDescent="0.4"/>
    <row r="193" hidden="1" x14ac:dyDescent="0.4"/>
    <row r="194" hidden="1" x14ac:dyDescent="0.4"/>
    <row r="195" hidden="1" x14ac:dyDescent="0.4"/>
    <row r="196" hidden="1" x14ac:dyDescent="0.4"/>
    <row r="197" hidden="1" x14ac:dyDescent="0.4"/>
    <row r="198" hidden="1" x14ac:dyDescent="0.4"/>
    <row r="199" hidden="1" x14ac:dyDescent="0.4"/>
    <row r="200" hidden="1" x14ac:dyDescent="0.4"/>
    <row r="201" hidden="1" x14ac:dyDescent="0.4"/>
    <row r="202" hidden="1" x14ac:dyDescent="0.4"/>
    <row r="203" hidden="1" x14ac:dyDescent="0.4"/>
    <row r="204" hidden="1" x14ac:dyDescent="0.4"/>
    <row r="205" hidden="1" x14ac:dyDescent="0.4"/>
    <row r="206" hidden="1" x14ac:dyDescent="0.4"/>
    <row r="207" hidden="1" x14ac:dyDescent="0.4"/>
    <row r="208" hidden="1" x14ac:dyDescent="0.4"/>
    <row r="209" hidden="1" x14ac:dyDescent="0.4"/>
    <row r="210" hidden="1" x14ac:dyDescent="0.4"/>
    <row r="211" hidden="1" x14ac:dyDescent="0.4"/>
    <row r="212" hidden="1" x14ac:dyDescent="0.4"/>
    <row r="213" hidden="1" x14ac:dyDescent="0.4"/>
    <row r="214" hidden="1" x14ac:dyDescent="0.4"/>
    <row r="215" hidden="1" x14ac:dyDescent="0.4"/>
    <row r="216" hidden="1" x14ac:dyDescent="0.4"/>
    <row r="217" hidden="1" x14ac:dyDescent="0.4"/>
    <row r="218" hidden="1" x14ac:dyDescent="0.4"/>
    <row r="219" hidden="1" x14ac:dyDescent="0.4"/>
    <row r="220" hidden="1" x14ac:dyDescent="0.4"/>
    <row r="221" hidden="1" x14ac:dyDescent="0.4"/>
    <row r="222" hidden="1" x14ac:dyDescent="0.4"/>
    <row r="223" hidden="1" x14ac:dyDescent="0.4"/>
    <row r="224" hidden="1" x14ac:dyDescent="0.4"/>
    <row r="225" hidden="1" x14ac:dyDescent="0.4"/>
    <row r="226" hidden="1" x14ac:dyDescent="0.4"/>
    <row r="227" hidden="1" x14ac:dyDescent="0.4"/>
    <row r="228" hidden="1" x14ac:dyDescent="0.4"/>
    <row r="229" hidden="1" x14ac:dyDescent="0.4"/>
    <row r="230" hidden="1" x14ac:dyDescent="0.4"/>
    <row r="231" hidden="1" x14ac:dyDescent="0.4"/>
    <row r="232" hidden="1" x14ac:dyDescent="0.4"/>
    <row r="233" hidden="1" x14ac:dyDescent="0.4"/>
    <row r="234" hidden="1" x14ac:dyDescent="0.4"/>
    <row r="235" hidden="1" x14ac:dyDescent="0.4"/>
    <row r="236" hidden="1" x14ac:dyDescent="0.4"/>
    <row r="237" hidden="1" x14ac:dyDescent="0.4"/>
    <row r="238" hidden="1" x14ac:dyDescent="0.4"/>
    <row r="239" hidden="1" x14ac:dyDescent="0.4"/>
    <row r="240" hidden="1" x14ac:dyDescent="0.4"/>
    <row r="241" hidden="1" x14ac:dyDescent="0.4"/>
    <row r="242" hidden="1" x14ac:dyDescent="0.4"/>
    <row r="243" hidden="1" x14ac:dyDescent="0.4"/>
    <row r="244" hidden="1" x14ac:dyDescent="0.4"/>
    <row r="245" hidden="1" x14ac:dyDescent="0.4"/>
    <row r="246" hidden="1" x14ac:dyDescent="0.4"/>
    <row r="247" hidden="1" x14ac:dyDescent="0.4"/>
    <row r="248" hidden="1" x14ac:dyDescent="0.4"/>
    <row r="249" hidden="1" x14ac:dyDescent="0.4"/>
    <row r="250" hidden="1" x14ac:dyDescent="0.4"/>
    <row r="251" hidden="1" x14ac:dyDescent="0.4"/>
    <row r="252" hidden="1" x14ac:dyDescent="0.4"/>
    <row r="253" hidden="1" x14ac:dyDescent="0.4"/>
    <row r="254" hidden="1" x14ac:dyDescent="0.4"/>
    <row r="255" hidden="1" x14ac:dyDescent="0.4"/>
    <row r="256" hidden="1" x14ac:dyDescent="0.4"/>
    <row r="257" hidden="1" x14ac:dyDescent="0.4"/>
    <row r="258" hidden="1" x14ac:dyDescent="0.4"/>
    <row r="259" hidden="1" x14ac:dyDescent="0.4"/>
    <row r="260" hidden="1" x14ac:dyDescent="0.4"/>
    <row r="261" hidden="1" x14ac:dyDescent="0.4"/>
  </sheetData>
  <conditionalFormatting sqref="K37:Y37">
    <cfRule type="cellIs" dxfId="3" priority="16" operator="equal">
      <formula>1</formula>
    </cfRule>
  </conditionalFormatting>
  <conditionalFormatting sqref="K49:Y49">
    <cfRule type="cellIs" dxfId="2" priority="11" operator="equal">
      <formula>$G49</formula>
    </cfRule>
  </conditionalFormatting>
  <conditionalFormatting sqref="K54:Y54">
    <cfRule type="cellIs" dxfId="1" priority="4" operator="equal">
      <formula>1</formula>
    </cfRule>
  </conditionalFormatting>
  <conditionalFormatting sqref="K66:Y66">
    <cfRule type="cellIs" dxfId="0" priority="3" operator="equal">
      <formula>$G66</formula>
    </cfRule>
  </conditionalFormatting>
  <dataValidations count="2">
    <dataValidation type="list" allowBlank="1" showInputMessage="1" showErrorMessage="1" sqref="F18">
      <formula1>$K$14:$Y$14</formula1>
    </dataValidation>
    <dataValidation type="list" allowBlank="1" showInputMessage="1" showErrorMessage="1" sqref="F23">
      <formula1>"Last debt period, Fixed"</formula1>
    </dataValidation>
  </dataValidations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Cover</vt:lpstr>
      <vt:lpstr>PLCR</vt:lpstr>
      <vt:lpstr>Constant.QuartersInYear</vt:lpstr>
      <vt:lpstr>Constants.MonthsInQuarter</vt:lpstr>
      <vt:lpstr>Date.Project.End</vt:lpstr>
      <vt:lpstr>PLCR.Rate.Applied</vt:lpstr>
      <vt:lpstr>PLCR.Rate.Choice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2017-07-18T04:43:06Z</dcterms:modified>
</cp:coreProperties>
</file>